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firstSheet="3" activeTab="10"/>
  </bookViews>
  <sheets>
    <sheet name="March 2022" sheetId="19" r:id="rId1"/>
    <sheet name="April 2022  " sheetId="21" r:id="rId2"/>
    <sheet name="May 2022" sheetId="22" r:id="rId3"/>
    <sheet name="June 2022" sheetId="23" r:id="rId4"/>
    <sheet name="July 2022" sheetId="24" r:id="rId5"/>
    <sheet name="aug 2022" sheetId="25" r:id="rId6"/>
    <sheet name="sep 2022" sheetId="26" r:id="rId7"/>
    <sheet name="Oct 2022" sheetId="27" r:id="rId8"/>
    <sheet name="Nov 2022" sheetId="28" r:id="rId9"/>
    <sheet name="Dec 2022" sheetId="29" r:id="rId10"/>
    <sheet name="Jan 2023" sheetId="31" r:id="rId11"/>
    <sheet name="LT" sheetId="17" r:id="rId12"/>
  </sheets>
  <externalReferences>
    <externalReference r:id="rId13"/>
  </externalReferences>
  <definedNames>
    <definedName name="_xlnm.Print_Area" localSheetId="1">'April 2022  '!$A$1:$U$64</definedName>
    <definedName name="_xlnm.Print_Area" localSheetId="5">'aug 2022'!$A$1:$U$64</definedName>
    <definedName name="_xlnm.Print_Area" localSheetId="9">'Dec 2022'!$A$1:$U$64</definedName>
    <definedName name="_xlnm.Print_Area" localSheetId="10">'Jan 2023'!$A$1:$U$64</definedName>
    <definedName name="_xlnm.Print_Area" localSheetId="4">'July 2022'!$A$1:$U$64</definedName>
    <definedName name="_xlnm.Print_Area" localSheetId="3">'June 2022'!$A$1:$U$58</definedName>
    <definedName name="_xlnm.Print_Area" localSheetId="0">'March 2022'!$A$1:$U$64</definedName>
    <definedName name="_xlnm.Print_Area" localSheetId="2">'May 2022'!$A$1:$U$64</definedName>
    <definedName name="_xlnm.Print_Area" localSheetId="8">'Nov 2022'!$A$1:$U$64</definedName>
    <definedName name="_xlnm.Print_Area" localSheetId="7">'Oct 2022'!$A$1:$U$64</definedName>
    <definedName name="_xlnm.Print_Area" localSheetId="6">'sep 2022'!$A$1:$U$59</definedName>
  </definedNames>
  <calcPr calcId="144525"/>
</workbook>
</file>

<file path=xl/calcChain.xml><?xml version="1.0" encoding="utf-8"?>
<calcChain xmlns="http://schemas.openxmlformats.org/spreadsheetml/2006/main">
  <c r="D49" i="31" l="1"/>
  <c r="E49" i="31"/>
  <c r="E50" i="31" s="1"/>
  <c r="E51" i="31" s="1"/>
  <c r="F49" i="31"/>
  <c r="F50" i="31" s="1"/>
  <c r="F51" i="31" s="1"/>
  <c r="G49" i="31"/>
  <c r="H49" i="31"/>
  <c r="I49" i="31"/>
  <c r="I50" i="31" s="1"/>
  <c r="I51" i="31" s="1"/>
  <c r="J49" i="31"/>
  <c r="J50" i="31" s="1"/>
  <c r="J51" i="31" s="1"/>
  <c r="K49" i="31"/>
  <c r="L49" i="31"/>
  <c r="M49" i="31"/>
  <c r="M50" i="31" s="1"/>
  <c r="M51" i="31" s="1"/>
  <c r="N49" i="31"/>
  <c r="N50" i="31" s="1"/>
  <c r="N51" i="31" s="1"/>
  <c r="O49" i="31"/>
  <c r="P49" i="31"/>
  <c r="Q49" i="31"/>
  <c r="Q50" i="31" s="1"/>
  <c r="Q51" i="31" s="1"/>
  <c r="R49" i="31"/>
  <c r="R50" i="31" s="1"/>
  <c r="R51" i="31" s="1"/>
  <c r="S49" i="31"/>
  <c r="T49" i="31"/>
  <c r="U49" i="31"/>
  <c r="U50" i="31" s="1"/>
  <c r="U51" i="31" s="1"/>
  <c r="D50" i="31"/>
  <c r="D51" i="31" s="1"/>
  <c r="G50" i="31"/>
  <c r="G51" i="31" s="1"/>
  <c r="H50" i="31"/>
  <c r="H51" i="31" s="1"/>
  <c r="K50" i="31"/>
  <c r="K51" i="31" s="1"/>
  <c r="L50" i="31"/>
  <c r="L51" i="31" s="1"/>
  <c r="O50" i="31"/>
  <c r="O51" i="31" s="1"/>
  <c r="P50" i="31"/>
  <c r="P51" i="31" s="1"/>
  <c r="S50" i="31"/>
  <c r="S51" i="31" s="1"/>
  <c r="T50" i="31"/>
  <c r="T51" i="31" s="1"/>
  <c r="D44" i="31"/>
  <c r="E44" i="31"/>
  <c r="F44" i="31"/>
  <c r="G44" i="31"/>
  <c r="H44" i="31"/>
  <c r="I44" i="31"/>
  <c r="J44" i="31"/>
  <c r="K44" i="31"/>
  <c r="L44" i="31"/>
  <c r="M44" i="31"/>
  <c r="N44" i="31"/>
  <c r="O44" i="31"/>
  <c r="P44" i="31"/>
  <c r="Q44" i="31"/>
  <c r="R44" i="31"/>
  <c r="S44" i="31"/>
  <c r="T44" i="31"/>
  <c r="U44" i="31"/>
  <c r="D38" i="31"/>
  <c r="E38" i="31"/>
  <c r="E39" i="31" s="1"/>
  <c r="F38" i="31"/>
  <c r="F39" i="31" s="1"/>
  <c r="G38" i="31"/>
  <c r="H38" i="31"/>
  <c r="I38" i="31"/>
  <c r="I39" i="31" s="1"/>
  <c r="J38" i="31"/>
  <c r="J39" i="31" s="1"/>
  <c r="K38" i="31"/>
  <c r="L38" i="31"/>
  <c r="M38" i="31"/>
  <c r="M39" i="31" s="1"/>
  <c r="N38" i="31"/>
  <c r="N39" i="31" s="1"/>
  <c r="O38" i="31"/>
  <c r="P38" i="31"/>
  <c r="Q38" i="31"/>
  <c r="Q39" i="31" s="1"/>
  <c r="R38" i="31"/>
  <c r="R39" i="31" s="1"/>
  <c r="S38" i="31"/>
  <c r="T38" i="31"/>
  <c r="U38" i="31"/>
  <c r="U39" i="31" s="1"/>
  <c r="D39" i="31"/>
  <c r="G39" i="31"/>
  <c r="H39" i="31"/>
  <c r="K39" i="31"/>
  <c r="L39" i="31"/>
  <c r="O39" i="31"/>
  <c r="P39" i="31"/>
  <c r="S39" i="31"/>
  <c r="T39" i="31"/>
  <c r="D33" i="31"/>
  <c r="E33" i="31"/>
  <c r="F33" i="31"/>
  <c r="G33" i="31"/>
  <c r="H33" i="31"/>
  <c r="I33" i="31"/>
  <c r="J33" i="31"/>
  <c r="K33" i="31"/>
  <c r="L33" i="31"/>
  <c r="M33" i="31"/>
  <c r="N33" i="31"/>
  <c r="O33" i="31"/>
  <c r="P33" i="31"/>
  <c r="Q33" i="31"/>
  <c r="R33" i="31"/>
  <c r="S33" i="31"/>
  <c r="T33" i="31"/>
  <c r="U33" i="31"/>
  <c r="D28" i="31"/>
  <c r="E28" i="31"/>
  <c r="F28" i="31"/>
  <c r="G28" i="31"/>
  <c r="H28" i="31"/>
  <c r="I28" i="31"/>
  <c r="J28" i="31"/>
  <c r="K28" i="31"/>
  <c r="L28" i="31"/>
  <c r="M28" i="31"/>
  <c r="N28" i="31"/>
  <c r="O28" i="31"/>
  <c r="P28" i="31"/>
  <c r="Q28" i="31"/>
  <c r="R28" i="31"/>
  <c r="S28" i="31"/>
  <c r="T28" i="31"/>
  <c r="U28" i="31"/>
  <c r="D24" i="31"/>
  <c r="E24" i="31"/>
  <c r="E25" i="31" s="1"/>
  <c r="F24" i="31"/>
  <c r="F25" i="31" s="1"/>
  <c r="G24" i="31"/>
  <c r="H24" i="31"/>
  <c r="I24" i="31"/>
  <c r="I25" i="31" s="1"/>
  <c r="J24" i="31"/>
  <c r="J25" i="31" s="1"/>
  <c r="K24" i="31"/>
  <c r="L24" i="31"/>
  <c r="M24" i="31"/>
  <c r="M25" i="31" s="1"/>
  <c r="N24" i="31"/>
  <c r="N25" i="31" s="1"/>
  <c r="O24" i="31"/>
  <c r="P24" i="31"/>
  <c r="Q24" i="31"/>
  <c r="Q25" i="31" s="1"/>
  <c r="R24" i="31"/>
  <c r="R25" i="31" s="1"/>
  <c r="S24" i="31"/>
  <c r="T24" i="31"/>
  <c r="U24" i="31"/>
  <c r="U25" i="31" s="1"/>
  <c r="D25" i="31"/>
  <c r="G25" i="31"/>
  <c r="H25" i="31"/>
  <c r="K25" i="31"/>
  <c r="L25" i="31"/>
  <c r="O25" i="31"/>
  <c r="P25" i="31"/>
  <c r="S25" i="31"/>
  <c r="T25" i="31"/>
  <c r="D19" i="31"/>
  <c r="E19" i="31"/>
  <c r="F19" i="31"/>
  <c r="G19" i="31"/>
  <c r="H19" i="31"/>
  <c r="I19" i="31"/>
  <c r="J19" i="31"/>
  <c r="K19" i="31"/>
  <c r="L19" i="31"/>
  <c r="M19" i="31"/>
  <c r="N19" i="31"/>
  <c r="O19" i="31"/>
  <c r="P19" i="31"/>
  <c r="Q19" i="31"/>
  <c r="R19" i="31"/>
  <c r="S19" i="31"/>
  <c r="T19" i="31"/>
  <c r="U19" i="31"/>
  <c r="D15" i="31"/>
  <c r="E15" i="31"/>
  <c r="F15" i="31"/>
  <c r="G15" i="31"/>
  <c r="H15" i="31"/>
  <c r="I15" i="31"/>
  <c r="J15" i="31"/>
  <c r="K15" i="31"/>
  <c r="L15" i="31"/>
  <c r="M15" i="31"/>
  <c r="N15" i="31"/>
  <c r="O15" i="31"/>
  <c r="P15" i="31"/>
  <c r="Q15" i="31"/>
  <c r="R15" i="31"/>
  <c r="S15" i="31"/>
  <c r="T15" i="31"/>
  <c r="U15" i="31"/>
  <c r="D11" i="31"/>
  <c r="E11" i="31"/>
  <c r="F11" i="31"/>
  <c r="G11" i="31"/>
  <c r="H11" i="31"/>
  <c r="I11" i="31"/>
  <c r="J11" i="31"/>
  <c r="K11" i="31"/>
  <c r="L11" i="31"/>
  <c r="M11" i="31"/>
  <c r="N11" i="31"/>
  <c r="O11" i="31"/>
  <c r="P11" i="31"/>
  <c r="Q11" i="31"/>
  <c r="R11" i="31"/>
  <c r="S11" i="31"/>
  <c r="T11" i="31"/>
  <c r="U11" i="31"/>
  <c r="T8" i="31"/>
  <c r="T9" i="31"/>
  <c r="T10" i="31"/>
  <c r="T12" i="31"/>
  <c r="T13" i="31"/>
  <c r="T14" i="31"/>
  <c r="T16" i="31"/>
  <c r="T17" i="31"/>
  <c r="T18" i="31"/>
  <c r="T20" i="31"/>
  <c r="T21" i="31"/>
  <c r="T22" i="31"/>
  <c r="T23" i="31"/>
  <c r="T26" i="31"/>
  <c r="T27" i="31"/>
  <c r="T29" i="31"/>
  <c r="T30" i="31"/>
  <c r="T31" i="31"/>
  <c r="T32" i="31"/>
  <c r="T34" i="31"/>
  <c r="T35" i="31"/>
  <c r="T36" i="31"/>
  <c r="T37" i="31"/>
  <c r="T40" i="31"/>
  <c r="T41" i="31"/>
  <c r="T42" i="31"/>
  <c r="T43" i="31"/>
  <c r="T45" i="31"/>
  <c r="T46" i="31"/>
  <c r="T47" i="31"/>
  <c r="T48" i="31"/>
  <c r="S8" i="31"/>
  <c r="S9" i="31"/>
  <c r="S10" i="31"/>
  <c r="S12" i="31"/>
  <c r="S13" i="31"/>
  <c r="S14" i="31"/>
  <c r="S16" i="31"/>
  <c r="S17" i="31"/>
  <c r="S18" i="31"/>
  <c r="S20" i="31"/>
  <c r="S21" i="31"/>
  <c r="S22" i="31"/>
  <c r="S23" i="31"/>
  <c r="S26" i="31"/>
  <c r="S27" i="31"/>
  <c r="S29" i="31"/>
  <c r="S30" i="31"/>
  <c r="S31" i="31"/>
  <c r="S32" i="31"/>
  <c r="S34" i="31"/>
  <c r="S35" i="31"/>
  <c r="S36" i="31"/>
  <c r="S37" i="31"/>
  <c r="S40" i="31"/>
  <c r="S41" i="31"/>
  <c r="S42" i="31"/>
  <c r="S43" i="31"/>
  <c r="S45" i="31"/>
  <c r="S46" i="31"/>
  <c r="S47" i="31"/>
  <c r="S48" i="31"/>
  <c r="S52" i="31"/>
  <c r="S53" i="31"/>
  <c r="Q8" i="31"/>
  <c r="Q9" i="31"/>
  <c r="Q10" i="31"/>
  <c r="Q12" i="31"/>
  <c r="Q13" i="31"/>
  <c r="Q14" i="31"/>
  <c r="Q16" i="31"/>
  <c r="Q17" i="31"/>
  <c r="Q18" i="31"/>
  <c r="Q20" i="31"/>
  <c r="Q21" i="31"/>
  <c r="Q22" i="31"/>
  <c r="Q23" i="31"/>
  <c r="Q26" i="31"/>
  <c r="Q27" i="31"/>
  <c r="Q29" i="31"/>
  <c r="Q30" i="31"/>
  <c r="Q31" i="31"/>
  <c r="Q32" i="31"/>
  <c r="Q34" i="31"/>
  <c r="Q35" i="31"/>
  <c r="Q36" i="31"/>
  <c r="Q37" i="31"/>
  <c r="Q40" i="31"/>
  <c r="Q41" i="31"/>
  <c r="Q42" i="31"/>
  <c r="Q43" i="31"/>
  <c r="Q45" i="31"/>
  <c r="Q46" i="31"/>
  <c r="Q47" i="31"/>
  <c r="Q48" i="31"/>
  <c r="Q52" i="31"/>
  <c r="Q53" i="31"/>
  <c r="N8" i="31"/>
  <c r="N9" i="31"/>
  <c r="N10" i="31"/>
  <c r="N12" i="31"/>
  <c r="N13" i="31"/>
  <c r="N14" i="31"/>
  <c r="N16" i="31"/>
  <c r="N17" i="31"/>
  <c r="N18" i="31"/>
  <c r="N20" i="31"/>
  <c r="N21" i="31"/>
  <c r="N22" i="31"/>
  <c r="N23" i="31"/>
  <c r="N26" i="31"/>
  <c r="N27" i="31"/>
  <c r="N29" i="31"/>
  <c r="N30" i="31"/>
  <c r="N31" i="31"/>
  <c r="N32" i="31"/>
  <c r="N34" i="31"/>
  <c r="N35" i="31"/>
  <c r="N36" i="31"/>
  <c r="N37" i="31"/>
  <c r="N40" i="31"/>
  <c r="N41" i="31"/>
  <c r="N42" i="31"/>
  <c r="N43" i="31"/>
  <c r="N45" i="31"/>
  <c r="N46" i="31"/>
  <c r="N47" i="31"/>
  <c r="N48" i="31"/>
  <c r="M8" i="31"/>
  <c r="M9" i="31"/>
  <c r="M10" i="31"/>
  <c r="M12" i="31"/>
  <c r="M13" i="31"/>
  <c r="M14" i="31"/>
  <c r="M16" i="31"/>
  <c r="M17" i="31"/>
  <c r="M18" i="31"/>
  <c r="M20" i="31"/>
  <c r="M21" i="31"/>
  <c r="M22" i="31"/>
  <c r="M23" i="31"/>
  <c r="M26" i="31"/>
  <c r="M27" i="31"/>
  <c r="M29" i="31"/>
  <c r="M30" i="31"/>
  <c r="M31" i="31"/>
  <c r="M32" i="31"/>
  <c r="M34" i="31"/>
  <c r="M35" i="31"/>
  <c r="M36" i="31"/>
  <c r="M37" i="31"/>
  <c r="M40" i="31"/>
  <c r="M41" i="31"/>
  <c r="M42" i="31"/>
  <c r="M43" i="31"/>
  <c r="M45" i="31"/>
  <c r="M46" i="31"/>
  <c r="M47" i="31"/>
  <c r="M48" i="31"/>
  <c r="M52" i="31"/>
  <c r="M53" i="31"/>
  <c r="K8" i="31"/>
  <c r="K9" i="31"/>
  <c r="K10" i="31"/>
  <c r="K12" i="31"/>
  <c r="K13" i="31"/>
  <c r="K14" i="31"/>
  <c r="K16" i="31"/>
  <c r="K17" i="31"/>
  <c r="K18" i="31"/>
  <c r="K20" i="31"/>
  <c r="K21" i="31"/>
  <c r="K22" i="31"/>
  <c r="K23" i="31"/>
  <c r="K26" i="31"/>
  <c r="K27" i="31"/>
  <c r="K29" i="31"/>
  <c r="K30" i="31"/>
  <c r="K31" i="31"/>
  <c r="K32" i="31"/>
  <c r="K34" i="31"/>
  <c r="K35" i="31"/>
  <c r="K36" i="31"/>
  <c r="K37" i="31"/>
  <c r="K40" i="31"/>
  <c r="K41" i="31"/>
  <c r="K42" i="31"/>
  <c r="K43" i="31"/>
  <c r="K45" i="31"/>
  <c r="K46" i="31"/>
  <c r="K47" i="31"/>
  <c r="K48" i="31"/>
  <c r="K52" i="31"/>
  <c r="K53" i="31"/>
  <c r="H8" i="31"/>
  <c r="H9" i="31"/>
  <c r="H10" i="31"/>
  <c r="H12" i="31"/>
  <c r="H13" i="31"/>
  <c r="H14" i="31"/>
  <c r="H16" i="31"/>
  <c r="H17" i="31"/>
  <c r="H18" i="31"/>
  <c r="H20" i="31"/>
  <c r="H21" i="31"/>
  <c r="H22" i="31"/>
  <c r="H23" i="31"/>
  <c r="H26" i="31"/>
  <c r="H27" i="31"/>
  <c r="H29" i="31"/>
  <c r="H30" i="31"/>
  <c r="H31" i="31"/>
  <c r="H32" i="31"/>
  <c r="H34" i="31"/>
  <c r="H35" i="31"/>
  <c r="H36" i="31"/>
  <c r="H37" i="31"/>
  <c r="H40" i="31"/>
  <c r="H41" i="31"/>
  <c r="H42" i="31"/>
  <c r="H43" i="31"/>
  <c r="H45" i="31"/>
  <c r="H46" i="31"/>
  <c r="H47" i="31"/>
  <c r="H48" i="31"/>
  <c r="H52" i="31"/>
  <c r="H53" i="31"/>
  <c r="G8" i="31"/>
  <c r="G9" i="31"/>
  <c r="G10" i="31"/>
  <c r="G12" i="31"/>
  <c r="G13" i="31"/>
  <c r="G14" i="31"/>
  <c r="G16" i="31"/>
  <c r="G17" i="31"/>
  <c r="G18" i="31"/>
  <c r="G20" i="31"/>
  <c r="G21" i="31"/>
  <c r="G22" i="31"/>
  <c r="G23" i="31"/>
  <c r="G26" i="31"/>
  <c r="G27" i="31"/>
  <c r="G29" i="31"/>
  <c r="G30" i="31"/>
  <c r="G31" i="31"/>
  <c r="G32" i="31"/>
  <c r="G34" i="31"/>
  <c r="G35" i="31"/>
  <c r="G36" i="31"/>
  <c r="G37" i="31"/>
  <c r="G40" i="31"/>
  <c r="G41" i="31"/>
  <c r="G42" i="31"/>
  <c r="G43" i="31"/>
  <c r="G45" i="31"/>
  <c r="G46" i="31"/>
  <c r="G47" i="31"/>
  <c r="G48" i="31"/>
  <c r="G52" i="31"/>
  <c r="G53" i="31"/>
  <c r="E8" i="31"/>
  <c r="E9" i="31"/>
  <c r="E10" i="31"/>
  <c r="E12" i="31"/>
  <c r="E13" i="31"/>
  <c r="E14" i="31"/>
  <c r="E16" i="31"/>
  <c r="E17" i="31"/>
  <c r="E18" i="31"/>
  <c r="E20" i="31"/>
  <c r="E21" i="31"/>
  <c r="E22" i="31"/>
  <c r="E23" i="31"/>
  <c r="E26" i="31"/>
  <c r="E27" i="31"/>
  <c r="E29" i="31"/>
  <c r="E30" i="31"/>
  <c r="E31" i="31"/>
  <c r="E32" i="31"/>
  <c r="E34" i="31"/>
  <c r="E35" i="31"/>
  <c r="E36" i="31"/>
  <c r="E37" i="31"/>
  <c r="E40" i="31"/>
  <c r="E41" i="31"/>
  <c r="E42" i="31"/>
  <c r="E43" i="31"/>
  <c r="E45" i="31"/>
  <c r="E46" i="31"/>
  <c r="E47" i="31"/>
  <c r="E48" i="31"/>
  <c r="E52" i="31"/>
  <c r="E53" i="31"/>
  <c r="P16" i="31" l="1"/>
  <c r="P29" i="31"/>
  <c r="C43" i="31" l="1"/>
  <c r="C49" i="31" l="1"/>
  <c r="C44" i="31"/>
  <c r="C50" i="31" s="1"/>
  <c r="C51" i="31" s="1"/>
  <c r="C39" i="31"/>
  <c r="C38" i="31"/>
  <c r="C33" i="31"/>
  <c r="C28" i="31"/>
  <c r="C25" i="31"/>
  <c r="C24" i="31"/>
  <c r="C19" i="31"/>
  <c r="C15" i="31"/>
  <c r="C11" i="31"/>
  <c r="S7" i="31" l="1"/>
  <c r="Q7" i="31"/>
  <c r="M7" i="31"/>
  <c r="K7" i="31"/>
  <c r="G7" i="31"/>
  <c r="E7" i="31"/>
  <c r="O8" i="31"/>
  <c r="O9" i="31"/>
  <c r="O10" i="31"/>
  <c r="O12" i="31"/>
  <c r="O13" i="31"/>
  <c r="O14" i="31"/>
  <c r="O16" i="31"/>
  <c r="O17" i="31"/>
  <c r="O18" i="31"/>
  <c r="O20" i="31"/>
  <c r="O21" i="31"/>
  <c r="O22" i="31"/>
  <c r="O23" i="31"/>
  <c r="O26" i="31"/>
  <c r="O27" i="31"/>
  <c r="O29" i="31"/>
  <c r="O30" i="31"/>
  <c r="O31" i="31"/>
  <c r="O32" i="31"/>
  <c r="O34" i="31"/>
  <c r="O35" i="31"/>
  <c r="O36" i="31"/>
  <c r="O37" i="31"/>
  <c r="O40" i="31"/>
  <c r="O41" i="31"/>
  <c r="O42" i="31"/>
  <c r="O43" i="31"/>
  <c r="O45" i="31"/>
  <c r="O46" i="31"/>
  <c r="O47" i="31"/>
  <c r="O48" i="31"/>
  <c r="O7" i="31"/>
  <c r="I8" i="31"/>
  <c r="I9" i="31"/>
  <c r="I10" i="31"/>
  <c r="I12" i="31"/>
  <c r="I13" i="31"/>
  <c r="I14" i="31"/>
  <c r="I16" i="31"/>
  <c r="I17" i="31"/>
  <c r="I18" i="31"/>
  <c r="I20" i="31"/>
  <c r="I21" i="31"/>
  <c r="I22" i="31"/>
  <c r="I23" i="31"/>
  <c r="I26" i="31"/>
  <c r="I27" i="31"/>
  <c r="I29" i="31"/>
  <c r="I30" i="31"/>
  <c r="I31" i="31"/>
  <c r="I32" i="31"/>
  <c r="I34" i="31"/>
  <c r="I35" i="31"/>
  <c r="I36" i="31"/>
  <c r="I37" i="31"/>
  <c r="I40" i="31"/>
  <c r="I41" i="31"/>
  <c r="I42" i="31"/>
  <c r="I43" i="31"/>
  <c r="I45" i="31"/>
  <c r="I46" i="31"/>
  <c r="I47" i="31"/>
  <c r="I48" i="31"/>
  <c r="I52" i="31"/>
  <c r="I53" i="31"/>
  <c r="I7" i="31"/>
  <c r="C8" i="31"/>
  <c r="C9" i="31"/>
  <c r="C10" i="31"/>
  <c r="C12" i="31"/>
  <c r="C13" i="31"/>
  <c r="C14" i="31"/>
  <c r="C16" i="31"/>
  <c r="C17" i="31"/>
  <c r="C18" i="31"/>
  <c r="C20" i="31"/>
  <c r="C21" i="31"/>
  <c r="C22" i="31"/>
  <c r="C23" i="31"/>
  <c r="C26" i="31"/>
  <c r="C27" i="31"/>
  <c r="C29" i="31"/>
  <c r="C30" i="31"/>
  <c r="C31" i="31"/>
  <c r="C32" i="31"/>
  <c r="C34" i="31"/>
  <c r="C35" i="31"/>
  <c r="C36" i="31"/>
  <c r="C37" i="31"/>
  <c r="C40" i="31"/>
  <c r="C41" i="31"/>
  <c r="C42" i="31"/>
  <c r="C45" i="31"/>
  <c r="C46" i="31"/>
  <c r="C47" i="31"/>
  <c r="C48" i="31"/>
  <c r="C52" i="31"/>
  <c r="C53" i="31"/>
  <c r="C7" i="31"/>
  <c r="T7" i="31"/>
  <c r="N7" i="31"/>
  <c r="H7" i="31"/>
  <c r="U27" i="31" l="1"/>
  <c r="U8" i="31"/>
  <c r="U23" i="31"/>
  <c r="U31" i="31"/>
  <c r="U18" i="31"/>
  <c r="U13" i="31"/>
  <c r="U17" i="31"/>
  <c r="U32" i="31"/>
  <c r="U10" i="31"/>
  <c r="U16" i="31"/>
  <c r="U47" i="31"/>
  <c r="U48" i="31"/>
  <c r="U42" i="31"/>
  <c r="U14" i="31"/>
  <c r="U22" i="31"/>
  <c r="U36" i="31"/>
  <c r="U43" i="31"/>
  <c r="U37" i="31"/>
  <c r="U7" i="31"/>
  <c r="U21" i="31"/>
  <c r="U12" i="31"/>
  <c r="U45" i="31"/>
  <c r="U46" i="31"/>
  <c r="U35" i="31"/>
  <c r="U20" i="31"/>
  <c r="U29" i="31"/>
  <c r="U41" i="31"/>
  <c r="O24" i="17"/>
  <c r="N24" i="17"/>
  <c r="K24" i="17"/>
  <c r="J24" i="17"/>
  <c r="G24" i="17"/>
  <c r="F24" i="17"/>
  <c r="U30" i="31" l="1"/>
  <c r="U26" i="31"/>
  <c r="U9" i="31"/>
  <c r="U34" i="31"/>
  <c r="U40" i="31"/>
  <c r="D34" i="29"/>
  <c r="H56" i="31" l="1"/>
  <c r="H66" i="31" s="1"/>
  <c r="H57" i="31"/>
  <c r="D41" i="29"/>
  <c r="D40" i="29"/>
  <c r="P29" i="29"/>
  <c r="P16" i="29"/>
  <c r="M60" i="31" l="1"/>
  <c r="N58" i="31"/>
  <c r="H61" i="31"/>
  <c r="G63" i="31"/>
  <c r="L59" i="31"/>
  <c r="J59" i="31"/>
  <c r="I60" i="31"/>
  <c r="H58" i="31"/>
  <c r="F51" i="29"/>
  <c r="G51" i="29"/>
  <c r="I51" i="29"/>
  <c r="L51" i="29"/>
  <c r="M51" i="29"/>
  <c r="O51" i="29"/>
  <c r="R51" i="29"/>
  <c r="S51" i="29"/>
  <c r="C51" i="29"/>
  <c r="F50" i="29"/>
  <c r="G50" i="29"/>
  <c r="I50" i="29"/>
  <c r="J50" i="29"/>
  <c r="K50" i="29"/>
  <c r="L50" i="29"/>
  <c r="M50" i="29"/>
  <c r="N50" i="29"/>
  <c r="O50" i="29"/>
  <c r="P50" i="29"/>
  <c r="Q50" i="29"/>
  <c r="R50" i="29"/>
  <c r="S50" i="29"/>
  <c r="T50" i="29"/>
  <c r="C50" i="29"/>
  <c r="D49" i="29"/>
  <c r="F49" i="29"/>
  <c r="G49" i="29"/>
  <c r="I49" i="29"/>
  <c r="J49" i="29"/>
  <c r="K49" i="29"/>
  <c r="L49" i="29"/>
  <c r="M49" i="29"/>
  <c r="N49" i="29"/>
  <c r="O49" i="29"/>
  <c r="P49" i="29"/>
  <c r="Q49" i="29"/>
  <c r="R49" i="29"/>
  <c r="S49" i="29"/>
  <c r="T49" i="29"/>
  <c r="C49" i="29"/>
  <c r="D44" i="29"/>
  <c r="F44" i="29"/>
  <c r="G44" i="29"/>
  <c r="I44" i="29"/>
  <c r="J44" i="29"/>
  <c r="K44" i="29"/>
  <c r="L44" i="29"/>
  <c r="M44" i="29"/>
  <c r="N44" i="29"/>
  <c r="O44" i="29"/>
  <c r="P44" i="29"/>
  <c r="Q44" i="29"/>
  <c r="R44" i="29"/>
  <c r="S44" i="29"/>
  <c r="T44" i="29"/>
  <c r="C44" i="29"/>
  <c r="F39" i="29"/>
  <c r="G39" i="29"/>
  <c r="I39" i="29"/>
  <c r="L39" i="29"/>
  <c r="M39" i="29"/>
  <c r="O39" i="29"/>
  <c r="R39" i="29"/>
  <c r="S39" i="29"/>
  <c r="C39" i="29"/>
  <c r="D38" i="29"/>
  <c r="F38" i="29"/>
  <c r="G38" i="29"/>
  <c r="I38" i="29"/>
  <c r="J38" i="29"/>
  <c r="K38" i="29"/>
  <c r="L38" i="29"/>
  <c r="M38" i="29"/>
  <c r="N38" i="29"/>
  <c r="O38" i="29"/>
  <c r="P38" i="29"/>
  <c r="Q38" i="29"/>
  <c r="R38" i="29"/>
  <c r="S38" i="29"/>
  <c r="T38" i="29"/>
  <c r="C38" i="29"/>
  <c r="D33" i="29"/>
  <c r="F33" i="29"/>
  <c r="G33" i="29"/>
  <c r="I33" i="29"/>
  <c r="J33" i="29"/>
  <c r="L33" i="29"/>
  <c r="M33" i="29"/>
  <c r="O33" i="29"/>
  <c r="P33" i="29"/>
  <c r="R33" i="29"/>
  <c r="S33" i="29"/>
  <c r="C33" i="29"/>
  <c r="D28" i="29"/>
  <c r="F28" i="29"/>
  <c r="G28" i="29"/>
  <c r="I28" i="29"/>
  <c r="J28" i="29"/>
  <c r="J39" i="29" s="1"/>
  <c r="L28" i="29"/>
  <c r="M28" i="29"/>
  <c r="O28" i="29"/>
  <c r="P28" i="29"/>
  <c r="R28" i="29"/>
  <c r="S28" i="29"/>
  <c r="C28" i="29"/>
  <c r="F25" i="29"/>
  <c r="G25" i="29"/>
  <c r="I25" i="29"/>
  <c r="L25" i="29"/>
  <c r="M25" i="29"/>
  <c r="O25" i="29"/>
  <c r="R25" i="29"/>
  <c r="S25" i="29"/>
  <c r="C25" i="29"/>
  <c r="D24" i="29"/>
  <c r="F24" i="29"/>
  <c r="G24" i="29"/>
  <c r="I24" i="29"/>
  <c r="J24" i="29"/>
  <c r="L24" i="29"/>
  <c r="M24" i="29"/>
  <c r="O24" i="29"/>
  <c r="P24" i="29"/>
  <c r="R24" i="29"/>
  <c r="S24" i="29"/>
  <c r="C24" i="29"/>
  <c r="D19" i="29"/>
  <c r="F19" i="29"/>
  <c r="G19" i="29"/>
  <c r="I19" i="29"/>
  <c r="J19" i="29"/>
  <c r="L19" i="29"/>
  <c r="M19" i="29"/>
  <c r="O19" i="29"/>
  <c r="P19" i="29"/>
  <c r="R19" i="29"/>
  <c r="S19" i="29"/>
  <c r="C19" i="29"/>
  <c r="D15" i="29"/>
  <c r="E15" i="29"/>
  <c r="F15" i="29"/>
  <c r="G15" i="29"/>
  <c r="H15" i="29"/>
  <c r="I15" i="29"/>
  <c r="J15" i="29"/>
  <c r="L15" i="29"/>
  <c r="M15" i="29"/>
  <c r="O15" i="29"/>
  <c r="P15" i="29"/>
  <c r="R15" i="29"/>
  <c r="S15" i="29"/>
  <c r="C15" i="29"/>
  <c r="D11" i="29"/>
  <c r="E11" i="29"/>
  <c r="F11" i="29"/>
  <c r="G11" i="29"/>
  <c r="H11" i="29"/>
  <c r="I11" i="29"/>
  <c r="J11" i="29"/>
  <c r="L11" i="29"/>
  <c r="M11" i="29"/>
  <c r="O11" i="29"/>
  <c r="P11" i="29"/>
  <c r="Q11" i="29"/>
  <c r="R11" i="29"/>
  <c r="S11" i="29"/>
  <c r="T11" i="29"/>
  <c r="C11" i="29"/>
  <c r="D25" i="29" l="1"/>
  <c r="P25" i="29"/>
  <c r="J25" i="29"/>
  <c r="D50" i="29"/>
  <c r="P39" i="29"/>
  <c r="D39" i="29"/>
  <c r="J51" i="29"/>
  <c r="S8" i="29"/>
  <c r="S9" i="29"/>
  <c r="S10" i="29"/>
  <c r="S12" i="29"/>
  <c r="S13" i="29"/>
  <c r="S14" i="29"/>
  <c r="S16" i="29"/>
  <c r="S17" i="29"/>
  <c r="S18" i="29"/>
  <c r="S20" i="29"/>
  <c r="S21" i="29"/>
  <c r="S22" i="29"/>
  <c r="S23" i="29"/>
  <c r="S26" i="29"/>
  <c r="S27" i="29"/>
  <c r="S29" i="29"/>
  <c r="S30" i="29"/>
  <c r="S31" i="29"/>
  <c r="S32" i="29"/>
  <c r="S34" i="29"/>
  <c r="S35" i="29"/>
  <c r="S36" i="29"/>
  <c r="S37" i="29"/>
  <c r="S40" i="29"/>
  <c r="S41" i="29"/>
  <c r="S42" i="29"/>
  <c r="S43" i="29"/>
  <c r="S45" i="29"/>
  <c r="S46" i="29"/>
  <c r="S47" i="29"/>
  <c r="S48" i="29"/>
  <c r="S52" i="29"/>
  <c r="S53" i="29"/>
  <c r="S7" i="29"/>
  <c r="Q8" i="29"/>
  <c r="Q9" i="29"/>
  <c r="Q10" i="29"/>
  <c r="Q12" i="29"/>
  <c r="Q13" i="29"/>
  <c r="Q14" i="29"/>
  <c r="Q15" i="29" s="1"/>
  <c r="Q16" i="29"/>
  <c r="Q17" i="29"/>
  <c r="Q18" i="29"/>
  <c r="Q20" i="29"/>
  <c r="Q21" i="29"/>
  <c r="Q22" i="29"/>
  <c r="Q23" i="29"/>
  <c r="Q26" i="29"/>
  <c r="Q27" i="29"/>
  <c r="Q29" i="29"/>
  <c r="Q30" i="29"/>
  <c r="Q31" i="29"/>
  <c r="Q32" i="29"/>
  <c r="Q34" i="29"/>
  <c r="Q35" i="29"/>
  <c r="Q36" i="29"/>
  <c r="Q37" i="29"/>
  <c r="Q40" i="29"/>
  <c r="Q41" i="29"/>
  <c r="Q42" i="29"/>
  <c r="Q43" i="29"/>
  <c r="Q45" i="29"/>
  <c r="Q46" i="29"/>
  <c r="Q47" i="29"/>
  <c r="Q48" i="29"/>
  <c r="Q52" i="29"/>
  <c r="Q53" i="29"/>
  <c r="Q7" i="29"/>
  <c r="M8" i="29"/>
  <c r="M9" i="29"/>
  <c r="M10" i="29"/>
  <c r="M12" i="29"/>
  <c r="M13" i="29"/>
  <c r="M14" i="29"/>
  <c r="M16" i="29"/>
  <c r="M17" i="29"/>
  <c r="M18" i="29"/>
  <c r="M20" i="29"/>
  <c r="M21" i="29"/>
  <c r="M22" i="29"/>
  <c r="M23" i="29"/>
  <c r="M26" i="29"/>
  <c r="M27" i="29"/>
  <c r="M29" i="29"/>
  <c r="M30" i="29"/>
  <c r="M31" i="29"/>
  <c r="M32" i="29"/>
  <c r="M34" i="29"/>
  <c r="M35" i="29"/>
  <c r="M36" i="29"/>
  <c r="M37" i="29"/>
  <c r="M40" i="29"/>
  <c r="M41" i="29"/>
  <c r="M42" i="29"/>
  <c r="M43" i="29"/>
  <c r="M45" i="29"/>
  <c r="M46" i="29"/>
  <c r="M47" i="29"/>
  <c r="M48" i="29"/>
  <c r="M52" i="29"/>
  <c r="M53" i="29"/>
  <c r="M7" i="29"/>
  <c r="K8" i="29"/>
  <c r="K11" i="29" s="1"/>
  <c r="K9" i="29"/>
  <c r="K10" i="29"/>
  <c r="K12" i="29"/>
  <c r="K13" i="29"/>
  <c r="K14" i="29"/>
  <c r="K16" i="29"/>
  <c r="K17" i="29"/>
  <c r="K18" i="29"/>
  <c r="K20" i="29"/>
  <c r="K21" i="29"/>
  <c r="K22" i="29"/>
  <c r="K23" i="29"/>
  <c r="K26" i="29"/>
  <c r="K27" i="29"/>
  <c r="K29" i="29"/>
  <c r="K30" i="29"/>
  <c r="K31" i="29"/>
  <c r="K32" i="29"/>
  <c r="K33" i="29" s="1"/>
  <c r="K34" i="29"/>
  <c r="K35" i="29"/>
  <c r="K36" i="29"/>
  <c r="K37" i="29"/>
  <c r="K40" i="29"/>
  <c r="K41" i="29"/>
  <c r="K42" i="29"/>
  <c r="K43" i="29"/>
  <c r="K45" i="29"/>
  <c r="K46" i="29"/>
  <c r="K47" i="29"/>
  <c r="K48" i="29"/>
  <c r="K52" i="29"/>
  <c r="K53" i="29"/>
  <c r="K7" i="29"/>
  <c r="G8" i="29"/>
  <c r="G9" i="29"/>
  <c r="G10" i="29"/>
  <c r="G12" i="29"/>
  <c r="G13" i="29"/>
  <c r="G14" i="29"/>
  <c r="G16" i="29"/>
  <c r="G17" i="29"/>
  <c r="G18" i="29"/>
  <c r="G20" i="29"/>
  <c r="G21" i="29"/>
  <c r="G22" i="29"/>
  <c r="G23" i="29"/>
  <c r="G26" i="29"/>
  <c r="G27" i="29"/>
  <c r="G29" i="29"/>
  <c r="G30" i="29"/>
  <c r="G31" i="29"/>
  <c r="G32" i="29"/>
  <c r="G34" i="29"/>
  <c r="G35" i="29"/>
  <c r="G36" i="29"/>
  <c r="G37" i="29"/>
  <c r="G40" i="29"/>
  <c r="G41" i="29"/>
  <c r="G42" i="29"/>
  <c r="G43" i="29"/>
  <c r="G45" i="29"/>
  <c r="G46" i="29"/>
  <c r="G47" i="29"/>
  <c r="G48" i="29"/>
  <c r="G52" i="29"/>
  <c r="G53" i="29"/>
  <c r="G7" i="29"/>
  <c r="E8" i="29"/>
  <c r="E9" i="29"/>
  <c r="E10" i="29"/>
  <c r="E12" i="29"/>
  <c r="E13" i="29"/>
  <c r="E14" i="29"/>
  <c r="E16" i="29"/>
  <c r="E19" i="29" s="1"/>
  <c r="E17" i="29"/>
  <c r="E18" i="29"/>
  <c r="E20" i="29"/>
  <c r="E21" i="29"/>
  <c r="E22" i="29"/>
  <c r="E23" i="29"/>
  <c r="E24" i="29" s="1"/>
  <c r="E25" i="29" s="1"/>
  <c r="E26" i="29"/>
  <c r="E27" i="29"/>
  <c r="E28" i="29" s="1"/>
  <c r="E29" i="29"/>
  <c r="E30" i="29"/>
  <c r="E31" i="29"/>
  <c r="E32" i="29"/>
  <c r="E34" i="29"/>
  <c r="E35" i="29"/>
  <c r="E36" i="29"/>
  <c r="E37" i="29"/>
  <c r="E40" i="29"/>
  <c r="E41" i="29"/>
  <c r="E42" i="29"/>
  <c r="E43" i="29"/>
  <c r="E45" i="29"/>
  <c r="E46" i="29"/>
  <c r="E47" i="29"/>
  <c r="E48" i="29"/>
  <c r="E52" i="29"/>
  <c r="E53" i="29"/>
  <c r="E7" i="29"/>
  <c r="O8" i="29"/>
  <c r="O9" i="29"/>
  <c r="O10" i="29"/>
  <c r="O12" i="29"/>
  <c r="O13" i="29"/>
  <c r="O14" i="29"/>
  <c r="O16" i="29"/>
  <c r="O17" i="29"/>
  <c r="O18" i="29"/>
  <c r="O20" i="29"/>
  <c r="O21" i="29"/>
  <c r="O22" i="29"/>
  <c r="O23" i="29"/>
  <c r="O26" i="29"/>
  <c r="O27" i="29"/>
  <c r="O29" i="29"/>
  <c r="O30" i="29"/>
  <c r="O31" i="29"/>
  <c r="O32" i="29"/>
  <c r="O34" i="29"/>
  <c r="O35" i="29"/>
  <c r="O36" i="29"/>
  <c r="O37" i="29"/>
  <c r="O40" i="29"/>
  <c r="O41" i="29"/>
  <c r="O42" i="29"/>
  <c r="O43" i="29"/>
  <c r="O45" i="29"/>
  <c r="O46" i="29"/>
  <c r="O47" i="29"/>
  <c r="O48" i="29"/>
  <c r="O7" i="29"/>
  <c r="I8" i="29"/>
  <c r="I9" i="29"/>
  <c r="I10" i="29"/>
  <c r="I12" i="29"/>
  <c r="I13" i="29"/>
  <c r="I14" i="29"/>
  <c r="I16" i="29"/>
  <c r="I17" i="29"/>
  <c r="I18" i="29"/>
  <c r="I20" i="29"/>
  <c r="I21" i="29"/>
  <c r="N21" i="29" s="1"/>
  <c r="I22" i="29"/>
  <c r="I23" i="29"/>
  <c r="I26" i="29"/>
  <c r="I27" i="29"/>
  <c r="I29" i="29"/>
  <c r="I30" i="29"/>
  <c r="I31" i="29"/>
  <c r="I32" i="29"/>
  <c r="I34" i="29"/>
  <c r="I35" i="29"/>
  <c r="I36" i="29"/>
  <c r="I37" i="29"/>
  <c r="N37" i="29" s="1"/>
  <c r="I40" i="29"/>
  <c r="N40" i="29" s="1"/>
  <c r="I41" i="29"/>
  <c r="I42" i="29"/>
  <c r="I43" i="29"/>
  <c r="I45" i="29"/>
  <c r="N45" i="29" s="1"/>
  <c r="I46" i="29"/>
  <c r="I47" i="29"/>
  <c r="I48" i="29"/>
  <c r="N48" i="29" s="1"/>
  <c r="I52" i="29"/>
  <c r="I53" i="29"/>
  <c r="I7" i="29"/>
  <c r="C8" i="29"/>
  <c r="C9" i="29"/>
  <c r="C10" i="29"/>
  <c r="C12" i="29"/>
  <c r="C13" i="29"/>
  <c r="C14" i="29"/>
  <c r="C16" i="29"/>
  <c r="C17" i="29"/>
  <c r="C18" i="29"/>
  <c r="C20" i="29"/>
  <c r="C21" i="29"/>
  <c r="C22" i="29"/>
  <c r="H22" i="29" s="1"/>
  <c r="C23" i="29"/>
  <c r="C26" i="29"/>
  <c r="H26" i="29" s="1"/>
  <c r="C27" i="29"/>
  <c r="C29" i="29"/>
  <c r="C30" i="29"/>
  <c r="H30" i="29" s="1"/>
  <c r="C31" i="29"/>
  <c r="C32" i="29"/>
  <c r="C34" i="29"/>
  <c r="C35" i="29"/>
  <c r="C36" i="29"/>
  <c r="C37" i="29"/>
  <c r="C40" i="29"/>
  <c r="C41" i="29"/>
  <c r="C42" i="29"/>
  <c r="H42" i="29" s="1"/>
  <c r="C43" i="29"/>
  <c r="C45" i="29"/>
  <c r="C46" i="29"/>
  <c r="C47" i="29"/>
  <c r="C48" i="29"/>
  <c r="C52" i="29"/>
  <c r="C53" i="29"/>
  <c r="H53" i="29" s="1"/>
  <c r="C7" i="29"/>
  <c r="H7" i="29" s="1"/>
  <c r="H52" i="29"/>
  <c r="T48" i="29"/>
  <c r="H48" i="29"/>
  <c r="T47" i="29"/>
  <c r="N47" i="29"/>
  <c r="H47" i="29"/>
  <c r="U47" i="29" s="1"/>
  <c r="T46" i="29"/>
  <c r="N46" i="29"/>
  <c r="H46" i="29"/>
  <c r="T43" i="29"/>
  <c r="N43" i="29"/>
  <c r="H43" i="29"/>
  <c r="T42" i="29"/>
  <c r="T41" i="29"/>
  <c r="N41" i="29"/>
  <c r="H41" i="29"/>
  <c r="T40" i="29"/>
  <c r="H40" i="29"/>
  <c r="T37" i="29"/>
  <c r="H37" i="29"/>
  <c r="T36" i="29"/>
  <c r="N36" i="29"/>
  <c r="H36" i="29"/>
  <c r="T35" i="29"/>
  <c r="N35" i="29"/>
  <c r="H35" i="29"/>
  <c r="T32" i="29"/>
  <c r="N32" i="29"/>
  <c r="N33" i="29" s="1"/>
  <c r="H32" i="29"/>
  <c r="T31" i="29"/>
  <c r="N31" i="29"/>
  <c r="H31" i="29"/>
  <c r="U31" i="29" s="1"/>
  <c r="T30" i="29"/>
  <c r="N30" i="29"/>
  <c r="H29" i="29"/>
  <c r="T27" i="29"/>
  <c r="T28" i="29" s="1"/>
  <c r="N27" i="29"/>
  <c r="H27" i="29"/>
  <c r="T26" i="29"/>
  <c r="N26" i="29"/>
  <c r="T23" i="29"/>
  <c r="N23" i="29"/>
  <c r="H23" i="29"/>
  <c r="H24" i="29" s="1"/>
  <c r="T22" i="29"/>
  <c r="N22" i="29"/>
  <c r="T21" i="29"/>
  <c r="H21" i="29"/>
  <c r="T20" i="29"/>
  <c r="T24" i="29" s="1"/>
  <c r="N20" i="29"/>
  <c r="H20" i="29"/>
  <c r="N18" i="29"/>
  <c r="H18" i="29"/>
  <c r="T17" i="29"/>
  <c r="N17" i="29"/>
  <c r="H17" i="29"/>
  <c r="N16" i="29"/>
  <c r="T14" i="29"/>
  <c r="T15" i="29" s="1"/>
  <c r="N14" i="29"/>
  <c r="H14" i="29"/>
  <c r="T13" i="29"/>
  <c r="N13" i="29"/>
  <c r="H13" i="29"/>
  <c r="T12" i="29"/>
  <c r="N12" i="29"/>
  <c r="H12" i="29"/>
  <c r="T10" i="29"/>
  <c r="N10" i="29"/>
  <c r="H10" i="29"/>
  <c r="T9" i="29"/>
  <c r="N9" i="29"/>
  <c r="H9" i="29"/>
  <c r="T8" i="29"/>
  <c r="N8" i="29"/>
  <c r="H8" i="29"/>
  <c r="T7" i="29"/>
  <c r="N7" i="29"/>
  <c r="Q33" i="29" l="1"/>
  <c r="E38" i="29"/>
  <c r="Q19" i="29"/>
  <c r="K19" i="29"/>
  <c r="N19" i="29"/>
  <c r="P51" i="29"/>
  <c r="U14" i="29"/>
  <c r="K15" i="29"/>
  <c r="N15" i="29"/>
  <c r="Q24" i="29"/>
  <c r="N24" i="29"/>
  <c r="K24" i="29"/>
  <c r="D51" i="29"/>
  <c r="E49" i="29"/>
  <c r="H44" i="29"/>
  <c r="E44" i="29"/>
  <c r="H33" i="29"/>
  <c r="E33" i="29"/>
  <c r="E39" i="29" s="1"/>
  <c r="Q28" i="29"/>
  <c r="N28" i="29"/>
  <c r="N39" i="29" s="1"/>
  <c r="K28" i="29"/>
  <c r="K39" i="29" s="1"/>
  <c r="U27" i="29"/>
  <c r="H28" i="29"/>
  <c r="N11" i="29"/>
  <c r="U13" i="29"/>
  <c r="U12" i="29"/>
  <c r="U17" i="29"/>
  <c r="U21" i="29"/>
  <c r="U37" i="29"/>
  <c r="U40" i="29"/>
  <c r="U30" i="29"/>
  <c r="U20" i="29"/>
  <c r="U36" i="29"/>
  <c r="U41" i="29"/>
  <c r="U46" i="29"/>
  <c r="U22" i="29"/>
  <c r="U10" i="29"/>
  <c r="U9" i="29"/>
  <c r="U8" i="29"/>
  <c r="U7" i="29"/>
  <c r="U23" i="29"/>
  <c r="U26" i="29"/>
  <c r="U35" i="29"/>
  <c r="U43" i="29"/>
  <c r="U48" i="29"/>
  <c r="T16" i="29"/>
  <c r="T19" i="29" s="1"/>
  <c r="T25" i="29" s="1"/>
  <c r="N29" i="29"/>
  <c r="T29" i="29"/>
  <c r="T33" i="29" s="1"/>
  <c r="T39" i="29" s="1"/>
  <c r="H16" i="29"/>
  <c r="H19" i="29" s="1"/>
  <c r="H25" i="29" s="1"/>
  <c r="T18" i="29"/>
  <c r="U18" i="29" s="1"/>
  <c r="U32" i="29"/>
  <c r="H34" i="29"/>
  <c r="H38" i="29" s="1"/>
  <c r="N34" i="29"/>
  <c r="T34" i="29"/>
  <c r="N42" i="29"/>
  <c r="H45" i="29"/>
  <c r="H49" i="29" s="1"/>
  <c r="T45" i="29"/>
  <c r="O23" i="17"/>
  <c r="N23" i="17"/>
  <c r="K23" i="17"/>
  <c r="J23" i="17"/>
  <c r="G23" i="17"/>
  <c r="F23" i="17"/>
  <c r="O22" i="17"/>
  <c r="N22" i="17"/>
  <c r="K22" i="17"/>
  <c r="J22" i="17"/>
  <c r="G22" i="17"/>
  <c r="F22" i="17"/>
  <c r="Q39" i="29" l="1"/>
  <c r="Q25" i="29"/>
  <c r="T51" i="29"/>
  <c r="K25" i="29"/>
  <c r="K51" i="29" s="1"/>
  <c r="U15" i="29"/>
  <c r="Q51" i="29"/>
  <c r="N25" i="29"/>
  <c r="N51" i="29" s="1"/>
  <c r="U24" i="29"/>
  <c r="E50" i="29"/>
  <c r="E51" i="29" s="1"/>
  <c r="H50" i="29"/>
  <c r="H39" i="29"/>
  <c r="U28" i="29"/>
  <c r="U11" i="29"/>
  <c r="U42" i="29"/>
  <c r="U44" i="29" s="1"/>
  <c r="U34" i="29"/>
  <c r="U38" i="29" s="1"/>
  <c r="U45" i="29"/>
  <c r="U49" i="29" s="1"/>
  <c r="U29" i="29"/>
  <c r="U33" i="29" s="1"/>
  <c r="U16" i="29"/>
  <c r="U19" i="29" s="1"/>
  <c r="C42" i="28"/>
  <c r="P18" i="28"/>
  <c r="V16" i="28"/>
  <c r="U25" i="29" l="1"/>
  <c r="U50" i="29"/>
  <c r="H51" i="29"/>
  <c r="U39" i="29"/>
  <c r="H56" i="29"/>
  <c r="H66" i="29" s="1"/>
  <c r="H57" i="29"/>
  <c r="P16" i="28"/>
  <c r="O16" i="28"/>
  <c r="J18" i="28"/>
  <c r="U51" i="29" l="1"/>
  <c r="N58" i="29"/>
  <c r="H58" i="29"/>
  <c r="J59" i="29"/>
  <c r="L59" i="29"/>
  <c r="G63" i="29"/>
  <c r="M60" i="29"/>
  <c r="I60" i="29"/>
  <c r="H61" i="29"/>
  <c r="O9" i="28"/>
  <c r="I51" i="28" l="1"/>
  <c r="F50" i="28"/>
  <c r="G50" i="28"/>
  <c r="I50" i="28"/>
  <c r="L50" i="28"/>
  <c r="M50" i="28"/>
  <c r="O50" i="28"/>
  <c r="R50" i="28"/>
  <c r="S50" i="28"/>
  <c r="D49" i="28"/>
  <c r="F49" i="28"/>
  <c r="G49" i="28"/>
  <c r="I49" i="28"/>
  <c r="J49" i="28"/>
  <c r="J50" i="28" s="1"/>
  <c r="L49" i="28"/>
  <c r="M49" i="28"/>
  <c r="O49" i="28"/>
  <c r="P49" i="28"/>
  <c r="Q49" i="28"/>
  <c r="R49" i="28"/>
  <c r="S49" i="28"/>
  <c r="T49" i="28"/>
  <c r="C49" i="28"/>
  <c r="D44" i="28"/>
  <c r="D50" i="28" s="1"/>
  <c r="F44" i="28"/>
  <c r="G44" i="28"/>
  <c r="I44" i="28"/>
  <c r="J44" i="28"/>
  <c r="L44" i="28"/>
  <c r="M44" i="28"/>
  <c r="O44" i="28"/>
  <c r="P44" i="28"/>
  <c r="P50" i="28" s="1"/>
  <c r="R44" i="28"/>
  <c r="S44" i="28"/>
  <c r="C44" i="28"/>
  <c r="C50" i="28" s="1"/>
  <c r="C51" i="28" s="1"/>
  <c r="I39" i="28"/>
  <c r="O39" i="28"/>
  <c r="C39" i="28"/>
  <c r="D38" i="28"/>
  <c r="F38" i="28"/>
  <c r="F39" i="28" s="1"/>
  <c r="I38" i="28"/>
  <c r="J38" i="28"/>
  <c r="K38" i="28"/>
  <c r="L38" i="28"/>
  <c r="M38" i="28"/>
  <c r="N38" i="28"/>
  <c r="O38" i="28"/>
  <c r="P38" i="28"/>
  <c r="R38" i="28"/>
  <c r="S38" i="28"/>
  <c r="C38" i="28"/>
  <c r="D33" i="28"/>
  <c r="F33" i="28"/>
  <c r="G33" i="28"/>
  <c r="I33" i="28"/>
  <c r="J33" i="28"/>
  <c r="L33" i="28"/>
  <c r="M33" i="28"/>
  <c r="O33" i="28"/>
  <c r="P33" i="28"/>
  <c r="R33" i="28"/>
  <c r="S33" i="28"/>
  <c r="C33" i="28"/>
  <c r="D28" i="28"/>
  <c r="F28" i="28"/>
  <c r="G28" i="28"/>
  <c r="I28" i="28"/>
  <c r="J28" i="28"/>
  <c r="J39" i="28" s="1"/>
  <c r="L28" i="28"/>
  <c r="L39" i="28" s="1"/>
  <c r="L51" i="28" s="1"/>
  <c r="O28" i="28"/>
  <c r="P28" i="28"/>
  <c r="R28" i="28"/>
  <c r="R39" i="28" s="1"/>
  <c r="C28" i="28"/>
  <c r="I25" i="28"/>
  <c r="L25" i="28"/>
  <c r="M25" i="28"/>
  <c r="C25" i="28"/>
  <c r="D24" i="28"/>
  <c r="F24" i="28"/>
  <c r="G24" i="28"/>
  <c r="I24" i="28"/>
  <c r="J24" i="28"/>
  <c r="L24" i="28"/>
  <c r="M24" i="28"/>
  <c r="O24" i="28"/>
  <c r="P24" i="28"/>
  <c r="R24" i="28"/>
  <c r="S24" i="28"/>
  <c r="C24" i="28"/>
  <c r="D19" i="28"/>
  <c r="F19" i="28"/>
  <c r="I19" i="28"/>
  <c r="J19" i="28"/>
  <c r="L19" i="28"/>
  <c r="M19" i="28"/>
  <c r="O19" i="28"/>
  <c r="P19" i="28"/>
  <c r="R19" i="28"/>
  <c r="R25" i="28" s="1"/>
  <c r="C19" i="28"/>
  <c r="D15" i="28"/>
  <c r="E15" i="28"/>
  <c r="F15" i="28"/>
  <c r="I15" i="28"/>
  <c r="J15" i="28"/>
  <c r="L15" i="28"/>
  <c r="M15" i="28"/>
  <c r="O15" i="28"/>
  <c r="P15" i="28"/>
  <c r="R15" i="28"/>
  <c r="S15" i="28"/>
  <c r="C15" i="28"/>
  <c r="D11" i="28"/>
  <c r="D25" i="28" s="1"/>
  <c r="F11" i="28"/>
  <c r="I11" i="28"/>
  <c r="J11" i="28"/>
  <c r="L11" i="28"/>
  <c r="M11" i="28"/>
  <c r="O11" i="28"/>
  <c r="P11" i="28"/>
  <c r="R11" i="28"/>
  <c r="S11" i="28"/>
  <c r="C11" i="28"/>
  <c r="S8" i="28"/>
  <c r="S9" i="28"/>
  <c r="S10" i="28"/>
  <c r="S12" i="28"/>
  <c r="S13" i="28"/>
  <c r="S14" i="28"/>
  <c r="S16" i="28"/>
  <c r="S17" i="28"/>
  <c r="S18" i="28"/>
  <c r="S19" i="28" s="1"/>
  <c r="S25" i="28" s="1"/>
  <c r="S20" i="28"/>
  <c r="S21" i="28"/>
  <c r="S22" i="28"/>
  <c r="S23" i="28"/>
  <c r="S26" i="28"/>
  <c r="S27" i="28"/>
  <c r="S29" i="28"/>
  <c r="S30" i="28"/>
  <c r="S31" i="28"/>
  <c r="S32" i="28"/>
  <c r="S34" i="28"/>
  <c r="S35" i="28"/>
  <c r="S36" i="28"/>
  <c r="S37" i="28"/>
  <c r="S40" i="28"/>
  <c r="S41" i="28"/>
  <c r="S42" i="28"/>
  <c r="S43" i="28"/>
  <c r="S45" i="28"/>
  <c r="S46" i="28"/>
  <c r="S47" i="28"/>
  <c r="S48" i="28"/>
  <c r="S52" i="28"/>
  <c r="S53" i="28"/>
  <c r="S7" i="28"/>
  <c r="Q8" i="28"/>
  <c r="Q9" i="28"/>
  <c r="Q10" i="28"/>
  <c r="Q11" i="28" s="1"/>
  <c r="Q12" i="28"/>
  <c r="Q13" i="28"/>
  <c r="Q14" i="28"/>
  <c r="Q15" i="28" s="1"/>
  <c r="Q16" i="28"/>
  <c r="Q17" i="28"/>
  <c r="Q18" i="28"/>
  <c r="Q20" i="28"/>
  <c r="Q21" i="28"/>
  <c r="Q22" i="28"/>
  <c r="Q23" i="28"/>
  <c r="Q26" i="28"/>
  <c r="Q28" i="28" s="1"/>
  <c r="Q27" i="28"/>
  <c r="Q29" i="28"/>
  <c r="Q30" i="28"/>
  <c r="Q31" i="28"/>
  <c r="Q32" i="28"/>
  <c r="Q34" i="28"/>
  <c r="Q35" i="28"/>
  <c r="Q36" i="28"/>
  <c r="Q37" i="28"/>
  <c r="Q40" i="28"/>
  <c r="Q41" i="28"/>
  <c r="Q42" i="28"/>
  <c r="Q43" i="28"/>
  <c r="Q45" i="28"/>
  <c r="Q46" i="28"/>
  <c r="Q47" i="28"/>
  <c r="Q48" i="28"/>
  <c r="Q52" i="28"/>
  <c r="Q53" i="28"/>
  <c r="Q7" i="28"/>
  <c r="M8" i="28"/>
  <c r="M9" i="28"/>
  <c r="M10" i="28"/>
  <c r="M12" i="28"/>
  <c r="M13" i="28"/>
  <c r="M14" i="28"/>
  <c r="M16" i="28"/>
  <c r="M17" i="28"/>
  <c r="M18" i="28"/>
  <c r="M20" i="28"/>
  <c r="M21" i="28"/>
  <c r="M22" i="28"/>
  <c r="M23" i="28"/>
  <c r="M26" i="28"/>
  <c r="M28" i="28" s="1"/>
  <c r="M39" i="28" s="1"/>
  <c r="M51" i="28" s="1"/>
  <c r="M27" i="28"/>
  <c r="M29" i="28"/>
  <c r="M30" i="28"/>
  <c r="M31" i="28"/>
  <c r="M32" i="28"/>
  <c r="M34" i="28"/>
  <c r="M35" i="28"/>
  <c r="M36" i="28"/>
  <c r="M37" i="28"/>
  <c r="M40" i="28"/>
  <c r="M41" i="28"/>
  <c r="M42" i="28"/>
  <c r="M43" i="28"/>
  <c r="M45" i="28"/>
  <c r="M46" i="28"/>
  <c r="M47" i="28"/>
  <c r="M48" i="28"/>
  <c r="M52" i="28"/>
  <c r="M53" i="28"/>
  <c r="M7" i="28"/>
  <c r="K8" i="28"/>
  <c r="K9" i="28"/>
  <c r="K10" i="28"/>
  <c r="K12" i="28"/>
  <c r="K13" i="28"/>
  <c r="K14" i="28"/>
  <c r="K16" i="28"/>
  <c r="K17" i="28"/>
  <c r="K18" i="28"/>
  <c r="K20" i="28"/>
  <c r="K21" i="28"/>
  <c r="K22" i="28"/>
  <c r="K23" i="28"/>
  <c r="K26" i="28"/>
  <c r="K27" i="28"/>
  <c r="K28" i="28" s="1"/>
  <c r="K29" i="28"/>
  <c r="K30" i="28"/>
  <c r="K31" i="28"/>
  <c r="K32" i="28"/>
  <c r="K33" i="28" s="1"/>
  <c r="K34" i="28"/>
  <c r="K35" i="28"/>
  <c r="K36" i="28"/>
  <c r="K37" i="28"/>
  <c r="K40" i="28"/>
  <c r="K44" i="28" s="1"/>
  <c r="K41" i="28"/>
  <c r="K42" i="28"/>
  <c r="K43" i="28"/>
  <c r="K45" i="28"/>
  <c r="K49" i="28" s="1"/>
  <c r="K46" i="28"/>
  <c r="K47" i="28"/>
  <c r="K48" i="28"/>
  <c r="K52" i="28"/>
  <c r="K53" i="28"/>
  <c r="K7" i="28"/>
  <c r="G8" i="28"/>
  <c r="G9" i="28"/>
  <c r="G10" i="28"/>
  <c r="G12" i="28"/>
  <c r="G15" i="28" s="1"/>
  <c r="G13" i="28"/>
  <c r="G14" i="28"/>
  <c r="G16" i="28"/>
  <c r="G19" i="28" s="1"/>
  <c r="G17" i="28"/>
  <c r="G18" i="28"/>
  <c r="G20" i="28"/>
  <c r="G21" i="28"/>
  <c r="G22" i="28"/>
  <c r="G23" i="28"/>
  <c r="G26" i="28"/>
  <c r="G27" i="28"/>
  <c r="G29" i="28"/>
  <c r="G30" i="28"/>
  <c r="G31" i="28"/>
  <c r="G32" i="28"/>
  <c r="G34" i="28"/>
  <c r="G35" i="28"/>
  <c r="G38" i="28" s="1"/>
  <c r="G39" i="28" s="1"/>
  <c r="G36" i="28"/>
  <c r="G37" i="28"/>
  <c r="G40" i="28"/>
  <c r="G41" i="28"/>
  <c r="G42" i="28"/>
  <c r="G43" i="28"/>
  <c r="G45" i="28"/>
  <c r="G46" i="28"/>
  <c r="G47" i="28"/>
  <c r="G48" i="28"/>
  <c r="G52" i="28"/>
  <c r="G53" i="28"/>
  <c r="G7" i="28"/>
  <c r="E8" i="28"/>
  <c r="E11" i="28" s="1"/>
  <c r="E9" i="28"/>
  <c r="E10" i="28"/>
  <c r="E12" i="28"/>
  <c r="E13" i="28"/>
  <c r="E14" i="28"/>
  <c r="E16" i="28"/>
  <c r="E19" i="28" s="1"/>
  <c r="E17" i="28"/>
  <c r="E18" i="28"/>
  <c r="E20" i="28"/>
  <c r="E21" i="28"/>
  <c r="E22" i="28"/>
  <c r="E23" i="28"/>
  <c r="E24" i="28" s="1"/>
  <c r="E26" i="28"/>
  <c r="E27" i="28"/>
  <c r="E28" i="28" s="1"/>
  <c r="E29" i="28"/>
  <c r="E30" i="28"/>
  <c r="E31" i="28"/>
  <c r="E32" i="28"/>
  <c r="E34" i="28"/>
  <c r="E35" i="28"/>
  <c r="E36" i="28"/>
  <c r="E37" i="28"/>
  <c r="E40" i="28"/>
  <c r="E41" i="28"/>
  <c r="E42" i="28"/>
  <c r="E43" i="28"/>
  <c r="E45" i="28"/>
  <c r="E46" i="28"/>
  <c r="E47" i="28"/>
  <c r="E48" i="28"/>
  <c r="E52" i="28"/>
  <c r="E53" i="28"/>
  <c r="E7" i="28"/>
  <c r="O8" i="28"/>
  <c r="O10" i="28"/>
  <c r="O12" i="28"/>
  <c r="O13" i="28"/>
  <c r="O14" i="28"/>
  <c r="O17" i="28"/>
  <c r="O18" i="28"/>
  <c r="O20" i="28"/>
  <c r="O21" i="28"/>
  <c r="O22" i="28"/>
  <c r="O23" i="28"/>
  <c r="O26" i="28"/>
  <c r="O27" i="28"/>
  <c r="O29" i="28"/>
  <c r="O30" i="28"/>
  <c r="O31" i="28"/>
  <c r="O32" i="28"/>
  <c r="O34" i="28"/>
  <c r="O35" i="28"/>
  <c r="O36" i="28"/>
  <c r="O37" i="28"/>
  <c r="O40" i="28"/>
  <c r="O41" i="28"/>
  <c r="O42" i="28"/>
  <c r="O43" i="28"/>
  <c r="O45" i="28"/>
  <c r="O46" i="28"/>
  <c r="O47" i="28"/>
  <c r="O48" i="28"/>
  <c r="O7" i="28"/>
  <c r="I8" i="28"/>
  <c r="I9" i="28"/>
  <c r="I10" i="28"/>
  <c r="I12" i="28"/>
  <c r="I13" i="28"/>
  <c r="I14" i="28"/>
  <c r="I16" i="28"/>
  <c r="I17" i="28"/>
  <c r="I18" i="28"/>
  <c r="I20" i="28"/>
  <c r="I21" i="28"/>
  <c r="I22" i="28"/>
  <c r="I23" i="28"/>
  <c r="I26" i="28"/>
  <c r="I27" i="28"/>
  <c r="I29" i="28"/>
  <c r="I30" i="28"/>
  <c r="N30" i="28" s="1"/>
  <c r="I31" i="28"/>
  <c r="I32" i="28"/>
  <c r="I34" i="28"/>
  <c r="I35" i="28"/>
  <c r="I36" i="28"/>
  <c r="I37" i="28"/>
  <c r="I40" i="28"/>
  <c r="I41" i="28"/>
  <c r="I42" i="28"/>
  <c r="I43" i="28"/>
  <c r="I45" i="28"/>
  <c r="N45" i="28" s="1"/>
  <c r="N49" i="28" s="1"/>
  <c r="I46" i="28"/>
  <c r="I47" i="28"/>
  <c r="I48" i="28"/>
  <c r="N48" i="28" s="1"/>
  <c r="I52" i="28"/>
  <c r="I53" i="28"/>
  <c r="I7" i="28"/>
  <c r="C8" i="28"/>
  <c r="C9" i="28"/>
  <c r="C10" i="28"/>
  <c r="C12" i="28"/>
  <c r="C13" i="28"/>
  <c r="C14" i="28"/>
  <c r="C16" i="28"/>
  <c r="C17" i="28"/>
  <c r="C18" i="28"/>
  <c r="C20" i="28"/>
  <c r="C21" i="28"/>
  <c r="C22" i="28"/>
  <c r="C23" i="28"/>
  <c r="C26" i="28"/>
  <c r="C27" i="28"/>
  <c r="C29" i="28"/>
  <c r="C30" i="28"/>
  <c r="C31" i="28"/>
  <c r="C32" i="28"/>
  <c r="C34" i="28"/>
  <c r="C35" i="28"/>
  <c r="C36" i="28"/>
  <c r="C37" i="28"/>
  <c r="C40" i="28"/>
  <c r="C41" i="28"/>
  <c r="H42" i="28"/>
  <c r="C43" i="28"/>
  <c r="C45" i="28"/>
  <c r="C46" i="28"/>
  <c r="C47" i="28"/>
  <c r="C48" i="28"/>
  <c r="C52" i="28"/>
  <c r="C53" i="28"/>
  <c r="H53" i="28" s="1"/>
  <c r="C7" i="28"/>
  <c r="H7" i="28" s="1"/>
  <c r="H52" i="28"/>
  <c r="T48" i="28"/>
  <c r="H48" i="28"/>
  <c r="T47" i="28"/>
  <c r="N47" i="28"/>
  <c r="H47" i="28"/>
  <c r="U47" i="28" s="1"/>
  <c r="T46" i="28"/>
  <c r="N46" i="28"/>
  <c r="H46" i="28"/>
  <c r="T43" i="28"/>
  <c r="N43" i="28"/>
  <c r="H43" i="28"/>
  <c r="T42" i="28"/>
  <c r="N42" i="28"/>
  <c r="T41" i="28"/>
  <c r="N41" i="28"/>
  <c r="H41" i="28"/>
  <c r="T37" i="28"/>
  <c r="N37" i="28"/>
  <c r="H37" i="28"/>
  <c r="T36" i="28"/>
  <c r="H36" i="28"/>
  <c r="T35" i="28"/>
  <c r="N35" i="28"/>
  <c r="H35" i="28"/>
  <c r="T34" i="28"/>
  <c r="N34" i="28"/>
  <c r="H34" i="28"/>
  <c r="T32" i="28"/>
  <c r="N32" i="28"/>
  <c r="N33" i="28" s="1"/>
  <c r="H32" i="28"/>
  <c r="T31" i="28"/>
  <c r="H31" i="28"/>
  <c r="T30" i="28"/>
  <c r="H30" i="28"/>
  <c r="T29" i="28"/>
  <c r="N29" i="28"/>
  <c r="H29" i="28"/>
  <c r="T27" i="28"/>
  <c r="N27" i="28"/>
  <c r="H27" i="28"/>
  <c r="T23" i="28"/>
  <c r="N23" i="28"/>
  <c r="H23" i="28"/>
  <c r="H24" i="28" s="1"/>
  <c r="T22" i="28"/>
  <c r="N22" i="28"/>
  <c r="H22" i="28"/>
  <c r="T21" i="28"/>
  <c r="N21" i="28"/>
  <c r="H21" i="28"/>
  <c r="T20" i="28"/>
  <c r="N20" i="28"/>
  <c r="H20" i="28"/>
  <c r="T18" i="28"/>
  <c r="N18" i="28"/>
  <c r="H18" i="28"/>
  <c r="T17" i="28"/>
  <c r="N17" i="28"/>
  <c r="H17" i="28"/>
  <c r="H16" i="28"/>
  <c r="H19" i="28" s="1"/>
  <c r="T14" i="28"/>
  <c r="T15" i="28" s="1"/>
  <c r="N14" i="28"/>
  <c r="H14" i="28"/>
  <c r="U14" i="28" s="1"/>
  <c r="T13" i="28"/>
  <c r="N13" i="28"/>
  <c r="H13" i="28"/>
  <c r="T12" i="28"/>
  <c r="N12" i="28"/>
  <c r="H12" i="28"/>
  <c r="H15" i="28" s="1"/>
  <c r="T10" i="28"/>
  <c r="T11" i="28" s="1"/>
  <c r="N10" i="28"/>
  <c r="H10" i="28"/>
  <c r="T9" i="28"/>
  <c r="N9" i="28"/>
  <c r="H9" i="28"/>
  <c r="T7" i="28"/>
  <c r="N7" i="28"/>
  <c r="S28" i="28" l="1"/>
  <c r="S39" i="28" s="1"/>
  <c r="S51" i="28" s="1"/>
  <c r="R51" i="28"/>
  <c r="Q19" i="28"/>
  <c r="T33" i="28"/>
  <c r="Q33" i="28"/>
  <c r="Q39" i="28" s="1"/>
  <c r="Q44" i="28"/>
  <c r="Q50" i="28" s="1"/>
  <c r="K50" i="28"/>
  <c r="O25" i="28"/>
  <c r="O51" i="28" s="1"/>
  <c r="G11" i="28"/>
  <c r="F25" i="28"/>
  <c r="P39" i="28"/>
  <c r="K39" i="28"/>
  <c r="H33" i="28"/>
  <c r="E33" i="28"/>
  <c r="E49" i="28"/>
  <c r="E44" i="28"/>
  <c r="E50" i="28" s="1"/>
  <c r="Q38" i="28"/>
  <c r="T38" i="28"/>
  <c r="U35" i="28"/>
  <c r="F51" i="28"/>
  <c r="E38" i="28"/>
  <c r="E39" i="28" s="1"/>
  <c r="H38" i="28"/>
  <c r="D39" i="28"/>
  <c r="D51" i="28" s="1"/>
  <c r="K19" i="28"/>
  <c r="P25" i="28"/>
  <c r="P51" i="28" s="1"/>
  <c r="K11" i="28"/>
  <c r="G25" i="28"/>
  <c r="G51" i="28" s="1"/>
  <c r="E25" i="28"/>
  <c r="N15" i="28"/>
  <c r="K15" i="28"/>
  <c r="J25" i="28"/>
  <c r="J51" i="28" s="1"/>
  <c r="Q24" i="28"/>
  <c r="T24" i="28"/>
  <c r="U22" i="28"/>
  <c r="N24" i="28"/>
  <c r="K24" i="28"/>
  <c r="U17" i="28"/>
  <c r="U27" i="28"/>
  <c r="U12" i="28"/>
  <c r="U13" i="28"/>
  <c r="U18" i="28"/>
  <c r="U23" i="28"/>
  <c r="U32" i="28"/>
  <c r="U34" i="28"/>
  <c r="U48" i="28"/>
  <c r="U42" i="28"/>
  <c r="U46" i="28"/>
  <c r="U41" i="28"/>
  <c r="U21" i="28"/>
  <c r="U10" i="28"/>
  <c r="U9" i="28"/>
  <c r="U7" i="28"/>
  <c r="H8" i="28"/>
  <c r="H11" i="28" s="1"/>
  <c r="H25" i="28" s="1"/>
  <c r="N8" i="28"/>
  <c r="N11" i="28" s="1"/>
  <c r="T8" i="28"/>
  <c r="T16" i="28"/>
  <c r="T19" i="28" s="1"/>
  <c r="N16" i="28"/>
  <c r="N19" i="28" s="1"/>
  <c r="T26" i="28"/>
  <c r="T28" i="28" s="1"/>
  <c r="N26" i="28"/>
  <c r="N28" i="28" s="1"/>
  <c r="N39" i="28" s="1"/>
  <c r="U30" i="28"/>
  <c r="U43" i="28"/>
  <c r="H26" i="28"/>
  <c r="H28" i="28" s="1"/>
  <c r="U37" i="28"/>
  <c r="U20" i="28"/>
  <c r="U29" i="28"/>
  <c r="N36" i="28"/>
  <c r="U36" i="28" s="1"/>
  <c r="H40" i="28"/>
  <c r="H44" i="28" s="1"/>
  <c r="N40" i="28"/>
  <c r="N44" i="28" s="1"/>
  <c r="N50" i="28" s="1"/>
  <c r="T40" i="28"/>
  <c r="T44" i="28" s="1"/>
  <c r="T50" i="28" s="1"/>
  <c r="N31" i="28"/>
  <c r="H45" i="28"/>
  <c r="H49" i="28" s="1"/>
  <c r="T45" i="28"/>
  <c r="D43" i="27"/>
  <c r="D41" i="27"/>
  <c r="P29" i="27"/>
  <c r="P16" i="27"/>
  <c r="Q25" i="28" l="1"/>
  <c r="T39" i="28"/>
  <c r="T25" i="28"/>
  <c r="H39" i="28"/>
  <c r="H51" i="28" s="1"/>
  <c r="H50" i="28"/>
  <c r="U38" i="28"/>
  <c r="Q51" i="28"/>
  <c r="E51" i="28"/>
  <c r="K25" i="28"/>
  <c r="K51" i="28" s="1"/>
  <c r="U15" i="28"/>
  <c r="N25" i="28"/>
  <c r="N51" i="28" s="1"/>
  <c r="U24" i="28"/>
  <c r="U16" i="28"/>
  <c r="U19" i="28" s="1"/>
  <c r="U40" i="28"/>
  <c r="U44" i="28" s="1"/>
  <c r="U31" i="28"/>
  <c r="U33" i="28" s="1"/>
  <c r="U45" i="28"/>
  <c r="U49" i="28" s="1"/>
  <c r="U26" i="28"/>
  <c r="U28" i="28" s="1"/>
  <c r="U8" i="28"/>
  <c r="U11" i="28" s="1"/>
  <c r="H45" i="27"/>
  <c r="T51" i="28" l="1"/>
  <c r="U39" i="28"/>
  <c r="U50" i="28"/>
  <c r="U25" i="28"/>
  <c r="H56" i="28"/>
  <c r="I60" i="28" s="1"/>
  <c r="H57" i="28"/>
  <c r="O9" i="27"/>
  <c r="U51" i="28" l="1"/>
  <c r="H66" i="28"/>
  <c r="M60" i="28"/>
  <c r="H61" i="28"/>
  <c r="L59" i="28"/>
  <c r="N58" i="28"/>
  <c r="G63" i="28"/>
  <c r="J59" i="28"/>
  <c r="H58" i="28"/>
  <c r="D49" i="27"/>
  <c r="F49" i="27"/>
  <c r="J49" i="27"/>
  <c r="J50" i="27" s="1"/>
  <c r="L49" i="27"/>
  <c r="L50" i="27" s="1"/>
  <c r="P49" i="27"/>
  <c r="R49" i="27"/>
  <c r="R50" i="27" s="1"/>
  <c r="D44" i="27"/>
  <c r="F44" i="27"/>
  <c r="J44" i="27"/>
  <c r="L44" i="27"/>
  <c r="P44" i="27"/>
  <c r="R44" i="27"/>
  <c r="D38" i="27"/>
  <c r="F38" i="27"/>
  <c r="J38" i="27"/>
  <c r="L38" i="27"/>
  <c r="P38" i="27"/>
  <c r="R38" i="27"/>
  <c r="D33" i="27"/>
  <c r="F33" i="27"/>
  <c r="F39" i="27" s="1"/>
  <c r="J33" i="27"/>
  <c r="L33" i="27"/>
  <c r="L39" i="27" s="1"/>
  <c r="P33" i="27"/>
  <c r="R33" i="27"/>
  <c r="R39" i="27" s="1"/>
  <c r="D28" i="27"/>
  <c r="F28" i="27"/>
  <c r="J28" i="27"/>
  <c r="L28" i="27"/>
  <c r="P28" i="27"/>
  <c r="R28" i="27"/>
  <c r="D24" i="27"/>
  <c r="F24" i="27"/>
  <c r="J24" i="27"/>
  <c r="L24" i="27"/>
  <c r="P24" i="27"/>
  <c r="R24" i="27"/>
  <c r="D19" i="27"/>
  <c r="F19" i="27"/>
  <c r="J19" i="27"/>
  <c r="L19" i="27"/>
  <c r="L25" i="27" s="1"/>
  <c r="P19" i="27"/>
  <c r="R19" i="27"/>
  <c r="R25" i="27" s="1"/>
  <c r="D15" i="27"/>
  <c r="F15" i="27"/>
  <c r="J15" i="27"/>
  <c r="L15" i="27"/>
  <c r="P15" i="27"/>
  <c r="R15" i="27"/>
  <c r="D11" i="27"/>
  <c r="F11" i="27"/>
  <c r="J11" i="27"/>
  <c r="L11" i="27"/>
  <c r="P11" i="27"/>
  <c r="R11" i="27"/>
  <c r="I52" i="27"/>
  <c r="I53" i="27"/>
  <c r="P50" i="27" l="1"/>
  <c r="F50" i="27"/>
  <c r="D50" i="27"/>
  <c r="P39" i="27"/>
  <c r="J39" i="27"/>
  <c r="D39" i="27"/>
  <c r="P25" i="27"/>
  <c r="F25" i="27"/>
  <c r="F51" i="27" s="1"/>
  <c r="J25" i="27"/>
  <c r="J51" i="27" s="1"/>
  <c r="D25" i="27"/>
  <c r="R51" i="27"/>
  <c r="L51" i="27"/>
  <c r="P51" i="27" l="1"/>
  <c r="D51" i="27"/>
  <c r="J32" i="26"/>
  <c r="D30" i="26"/>
  <c r="P22" i="26"/>
  <c r="H56" i="27" l="1"/>
  <c r="I60" i="27" s="1"/>
  <c r="G63" i="27" l="1"/>
  <c r="L59" i="27"/>
  <c r="H61" i="27"/>
  <c r="J59" i="27"/>
  <c r="N58" i="27"/>
  <c r="H66" i="27"/>
  <c r="D49" i="26"/>
  <c r="F49" i="26"/>
  <c r="J49" i="26"/>
  <c r="L49" i="26"/>
  <c r="P49" i="26"/>
  <c r="R49" i="26"/>
  <c r="D44" i="26"/>
  <c r="D50" i="26" s="1"/>
  <c r="F44" i="26"/>
  <c r="J44" i="26"/>
  <c r="L44" i="26"/>
  <c r="L50" i="26" s="1"/>
  <c r="P44" i="26"/>
  <c r="P50" i="26" s="1"/>
  <c r="R44" i="26"/>
  <c r="D38" i="26"/>
  <c r="F38" i="26"/>
  <c r="J38" i="26"/>
  <c r="L38" i="26"/>
  <c r="P38" i="26"/>
  <c r="R38" i="26"/>
  <c r="D33" i="26"/>
  <c r="F33" i="26"/>
  <c r="F39" i="26" s="1"/>
  <c r="J33" i="26"/>
  <c r="L33" i="26"/>
  <c r="L39" i="26" s="1"/>
  <c r="P33" i="26"/>
  <c r="R33" i="26"/>
  <c r="R39" i="26" s="1"/>
  <c r="D28" i="26"/>
  <c r="F28" i="26"/>
  <c r="J28" i="26"/>
  <c r="L28" i="26"/>
  <c r="P28" i="26"/>
  <c r="R28" i="26"/>
  <c r="D24" i="26"/>
  <c r="F24" i="26"/>
  <c r="J24" i="26"/>
  <c r="L24" i="26"/>
  <c r="P24" i="26"/>
  <c r="R24" i="26"/>
  <c r="D19" i="26"/>
  <c r="F19" i="26"/>
  <c r="J19" i="26"/>
  <c r="L19" i="26"/>
  <c r="L25" i="26" s="1"/>
  <c r="P19" i="26"/>
  <c r="R19" i="26"/>
  <c r="F15" i="26"/>
  <c r="J15" i="26"/>
  <c r="L15" i="26"/>
  <c r="P15" i="26"/>
  <c r="R15" i="26"/>
  <c r="D11" i="26"/>
  <c r="F11" i="26"/>
  <c r="J11" i="26"/>
  <c r="L11" i="26"/>
  <c r="P11" i="26"/>
  <c r="R11" i="26"/>
  <c r="R25" i="26" l="1"/>
  <c r="R50" i="26"/>
  <c r="R51" i="26" s="1"/>
  <c r="O21" i="17" s="1"/>
  <c r="J50" i="26"/>
  <c r="F50" i="26"/>
  <c r="P25" i="26"/>
  <c r="F25" i="26"/>
  <c r="P39" i="26"/>
  <c r="J39" i="26"/>
  <c r="D39" i="26"/>
  <c r="F51" i="26"/>
  <c r="G21" i="17" s="1"/>
  <c r="P51" i="26"/>
  <c r="N21" i="17" s="1"/>
  <c r="L51" i="26"/>
  <c r="K21" i="17" s="1"/>
  <c r="J25" i="26"/>
  <c r="J51" i="26" s="1"/>
  <c r="J21" i="17" s="1"/>
  <c r="D15" i="26"/>
  <c r="D25" i="26" s="1"/>
  <c r="D51" i="26" s="1"/>
  <c r="F21" i="17" s="1"/>
  <c r="I52" i="26"/>
  <c r="I53" i="26"/>
  <c r="P22" i="25" l="1"/>
  <c r="J32" i="25"/>
  <c r="D41" i="25"/>
  <c r="D30" i="25"/>
  <c r="I52" i="25" l="1"/>
  <c r="I53" i="25"/>
  <c r="R49" i="25"/>
  <c r="P49" i="25"/>
  <c r="L49" i="25"/>
  <c r="L50" i="25" s="1"/>
  <c r="J49" i="25"/>
  <c r="F49" i="25"/>
  <c r="D49" i="25"/>
  <c r="R44" i="25"/>
  <c r="P44" i="25"/>
  <c r="L44" i="25"/>
  <c r="J44" i="25"/>
  <c r="F44" i="25"/>
  <c r="D44" i="25"/>
  <c r="R38" i="25"/>
  <c r="P38" i="25"/>
  <c r="L38" i="25"/>
  <c r="J38" i="25"/>
  <c r="F38" i="25"/>
  <c r="D38" i="25"/>
  <c r="R33" i="25"/>
  <c r="P33" i="25"/>
  <c r="L33" i="25"/>
  <c r="F33" i="25"/>
  <c r="D33" i="25"/>
  <c r="R28" i="25"/>
  <c r="P28" i="25"/>
  <c r="L28" i="25"/>
  <c r="J28" i="25"/>
  <c r="F28" i="25"/>
  <c r="D28" i="25"/>
  <c r="R24" i="25"/>
  <c r="P24" i="25"/>
  <c r="L24" i="25"/>
  <c r="J24" i="25"/>
  <c r="F24" i="25"/>
  <c r="D24" i="25"/>
  <c r="R19" i="25"/>
  <c r="L19" i="25"/>
  <c r="J19" i="25"/>
  <c r="F19" i="25"/>
  <c r="D19" i="25"/>
  <c r="R15" i="25"/>
  <c r="L15" i="25"/>
  <c r="J15" i="25"/>
  <c r="F15" i="25"/>
  <c r="D15" i="25"/>
  <c r="P15" i="25"/>
  <c r="R11" i="25"/>
  <c r="P11" i="25"/>
  <c r="L11" i="25"/>
  <c r="L25" i="25" s="1"/>
  <c r="F11" i="25"/>
  <c r="D11" i="25"/>
  <c r="J11" i="25"/>
  <c r="P50" i="25" l="1"/>
  <c r="F50" i="25"/>
  <c r="R50" i="25"/>
  <c r="J50" i="25"/>
  <c r="D50" i="25"/>
  <c r="D25" i="25"/>
  <c r="D39" i="25"/>
  <c r="L39" i="25"/>
  <c r="L51" i="25" s="1"/>
  <c r="K20" i="17" s="1"/>
  <c r="J25" i="25"/>
  <c r="J33" i="25"/>
  <c r="P39" i="25"/>
  <c r="P19" i="25"/>
  <c r="F25" i="25"/>
  <c r="R25" i="25"/>
  <c r="F39" i="25"/>
  <c r="R39" i="25"/>
  <c r="R51" i="25" s="1"/>
  <c r="O20" i="17" s="1"/>
  <c r="P16" i="24"/>
  <c r="P12" i="24"/>
  <c r="F51" i="25" l="1"/>
  <c r="G20" i="17" s="1"/>
  <c r="H56" i="26"/>
  <c r="H66" i="26" s="1"/>
  <c r="P25" i="25"/>
  <c r="J39" i="25"/>
  <c r="D51" i="25"/>
  <c r="F20" i="17" l="1"/>
  <c r="L59" i="26"/>
  <c r="N58" i="26"/>
  <c r="G63" i="26"/>
  <c r="J59" i="26"/>
  <c r="I60" i="26"/>
  <c r="H61" i="26"/>
  <c r="P51" i="25"/>
  <c r="J51" i="25"/>
  <c r="H56" i="25"/>
  <c r="L59" i="25" s="1"/>
  <c r="I60" i="25"/>
  <c r="J32" i="24"/>
  <c r="P22" i="24"/>
  <c r="N20" i="17" l="1"/>
  <c r="J20" i="17"/>
  <c r="G63" i="25"/>
  <c r="J59" i="25"/>
  <c r="H66" i="25"/>
  <c r="H61" i="25"/>
  <c r="N58" i="25"/>
  <c r="J14" i="24"/>
  <c r="J10" i="24"/>
  <c r="D49" i="24" l="1"/>
  <c r="F49" i="24"/>
  <c r="F50" i="24" s="1"/>
  <c r="J49" i="24"/>
  <c r="J50" i="24" s="1"/>
  <c r="L49" i="24"/>
  <c r="L50" i="24" s="1"/>
  <c r="P49" i="24"/>
  <c r="R49" i="24"/>
  <c r="R50" i="24" s="1"/>
  <c r="D44" i="24"/>
  <c r="F44" i="24"/>
  <c r="J44" i="24"/>
  <c r="L44" i="24"/>
  <c r="P44" i="24"/>
  <c r="R44" i="24"/>
  <c r="D38" i="24"/>
  <c r="F38" i="24"/>
  <c r="F39" i="24" s="1"/>
  <c r="J38" i="24"/>
  <c r="L38" i="24"/>
  <c r="L39" i="24" s="1"/>
  <c r="P38" i="24"/>
  <c r="R38" i="24"/>
  <c r="R39" i="24" s="1"/>
  <c r="D33" i="24"/>
  <c r="F33" i="24"/>
  <c r="J33" i="24"/>
  <c r="L33" i="24"/>
  <c r="P33" i="24"/>
  <c r="R33" i="24"/>
  <c r="D28" i="24"/>
  <c r="F28" i="24"/>
  <c r="J28" i="24"/>
  <c r="J39" i="24" s="1"/>
  <c r="L28" i="24"/>
  <c r="P28" i="24"/>
  <c r="R28" i="24"/>
  <c r="D24" i="24"/>
  <c r="F24" i="24"/>
  <c r="J24" i="24"/>
  <c r="L24" i="24"/>
  <c r="P24" i="24"/>
  <c r="R24" i="24"/>
  <c r="R25" i="24" s="1"/>
  <c r="D19" i="24"/>
  <c r="F19" i="24"/>
  <c r="J19" i="24"/>
  <c r="L19" i="24"/>
  <c r="P19" i="24"/>
  <c r="R19" i="24"/>
  <c r="D15" i="24"/>
  <c r="F15" i="24"/>
  <c r="J15" i="24"/>
  <c r="L15" i="24"/>
  <c r="P15" i="24"/>
  <c r="R15" i="24"/>
  <c r="D11" i="24"/>
  <c r="D25" i="24" s="1"/>
  <c r="F11" i="24"/>
  <c r="F25" i="24" s="1"/>
  <c r="J11" i="24"/>
  <c r="L11" i="24"/>
  <c r="P11" i="24"/>
  <c r="R11" i="24"/>
  <c r="I52" i="24"/>
  <c r="I53" i="24"/>
  <c r="R51" i="24" l="1"/>
  <c r="O19" i="17" s="1"/>
  <c r="P50" i="24"/>
  <c r="F51" i="24"/>
  <c r="G19" i="17" s="1"/>
  <c r="P39" i="24"/>
  <c r="L25" i="24"/>
  <c r="L51" i="24" s="1"/>
  <c r="K19" i="17" s="1"/>
  <c r="D50" i="24"/>
  <c r="D39" i="24"/>
  <c r="P25" i="24"/>
  <c r="J25" i="24"/>
  <c r="J51" i="24" s="1"/>
  <c r="J19" i="17" s="1"/>
  <c r="D51" i="24" l="1"/>
  <c r="F19" i="17" s="1"/>
  <c r="P51" i="24"/>
  <c r="N19" i="17" s="1"/>
  <c r="J32" i="23"/>
  <c r="H56" i="24" l="1"/>
  <c r="G63" i="24" s="1"/>
  <c r="D45" i="23"/>
  <c r="J18" i="23"/>
  <c r="J59" i="24" l="1"/>
  <c r="H61" i="24"/>
  <c r="I60" i="24"/>
  <c r="N58" i="24"/>
  <c r="H66" i="24"/>
  <c r="L59" i="24"/>
  <c r="J33" i="23"/>
  <c r="D49" i="23" l="1"/>
  <c r="F49" i="23"/>
  <c r="F50" i="23" s="1"/>
  <c r="J49" i="23"/>
  <c r="L49" i="23"/>
  <c r="L50" i="23" s="1"/>
  <c r="P49" i="23"/>
  <c r="R49" i="23"/>
  <c r="R50" i="23" s="1"/>
  <c r="D44" i="23"/>
  <c r="F44" i="23"/>
  <c r="J44" i="23"/>
  <c r="L44" i="23"/>
  <c r="P44" i="23"/>
  <c r="R44" i="23"/>
  <c r="D38" i="23"/>
  <c r="F38" i="23"/>
  <c r="J38" i="23"/>
  <c r="L38" i="23"/>
  <c r="L39" i="23" s="1"/>
  <c r="P38" i="23"/>
  <c r="R38" i="23"/>
  <c r="D33" i="23"/>
  <c r="F33" i="23"/>
  <c r="F39" i="23" s="1"/>
  <c r="L33" i="23"/>
  <c r="P33" i="23"/>
  <c r="R33" i="23"/>
  <c r="R39" i="23" s="1"/>
  <c r="D28" i="23"/>
  <c r="D39" i="23" s="1"/>
  <c r="F28" i="23"/>
  <c r="J28" i="23"/>
  <c r="L28" i="23"/>
  <c r="P28" i="23"/>
  <c r="R28" i="23"/>
  <c r="D24" i="23"/>
  <c r="F24" i="23"/>
  <c r="J24" i="23"/>
  <c r="L24" i="23"/>
  <c r="P24" i="23"/>
  <c r="R24" i="23"/>
  <c r="D19" i="23"/>
  <c r="F19" i="23"/>
  <c r="J19" i="23"/>
  <c r="L19" i="23"/>
  <c r="P19" i="23"/>
  <c r="R19" i="23"/>
  <c r="D15" i="23"/>
  <c r="F15" i="23"/>
  <c r="J15" i="23"/>
  <c r="L15" i="23"/>
  <c r="P15" i="23"/>
  <c r="R15" i="23"/>
  <c r="D11" i="23"/>
  <c r="F11" i="23"/>
  <c r="J11" i="23"/>
  <c r="L11" i="23"/>
  <c r="P11" i="23"/>
  <c r="R11" i="23"/>
  <c r="I52" i="23"/>
  <c r="I53" i="23"/>
  <c r="L25" i="23" l="1"/>
  <c r="L51" i="23" s="1"/>
  <c r="K18" i="17" s="1"/>
  <c r="R25" i="23"/>
  <c r="R51" i="23" s="1"/>
  <c r="O18" i="17" s="1"/>
  <c r="J39" i="23"/>
  <c r="P50" i="23"/>
  <c r="J50" i="23"/>
  <c r="D50" i="23"/>
  <c r="P39" i="23"/>
  <c r="F25" i="23"/>
  <c r="F51" i="23" s="1"/>
  <c r="G18" i="17" s="1"/>
  <c r="P25" i="23"/>
  <c r="P51" i="23" s="1"/>
  <c r="N18" i="17" s="1"/>
  <c r="J25" i="23"/>
  <c r="J51" i="23" s="1"/>
  <c r="J18" i="17" s="1"/>
  <c r="D25" i="23"/>
  <c r="D51" i="23" s="1"/>
  <c r="F18" i="17" s="1"/>
  <c r="D45" i="22" l="1"/>
  <c r="H56" i="23" l="1"/>
  <c r="I60" i="23" s="1"/>
  <c r="J9" i="22"/>
  <c r="H66" i="23" l="1"/>
  <c r="N58" i="23"/>
  <c r="H61" i="23"/>
  <c r="L59" i="23"/>
  <c r="G63" i="23"/>
  <c r="J59" i="23"/>
  <c r="D49" i="22"/>
  <c r="F49" i="22"/>
  <c r="J49" i="22"/>
  <c r="L49" i="22"/>
  <c r="P49" i="22"/>
  <c r="R49" i="22"/>
  <c r="R50" i="22" s="1"/>
  <c r="D44" i="22"/>
  <c r="F44" i="22"/>
  <c r="F50" i="22" s="1"/>
  <c r="J44" i="22"/>
  <c r="J50" i="22" s="1"/>
  <c r="L44" i="22"/>
  <c r="P44" i="22"/>
  <c r="R44" i="22"/>
  <c r="D38" i="22"/>
  <c r="F38" i="22"/>
  <c r="F39" i="22" s="1"/>
  <c r="J38" i="22"/>
  <c r="L38" i="22"/>
  <c r="L39" i="22" s="1"/>
  <c r="P38" i="22"/>
  <c r="R38" i="22"/>
  <c r="D33" i="22"/>
  <c r="D39" i="22" s="1"/>
  <c r="F33" i="22"/>
  <c r="J33" i="22"/>
  <c r="L33" i="22"/>
  <c r="P33" i="22"/>
  <c r="R33" i="22"/>
  <c r="D28" i="22"/>
  <c r="F28" i="22"/>
  <c r="J28" i="22"/>
  <c r="L28" i="22"/>
  <c r="P28" i="22"/>
  <c r="R28" i="22"/>
  <c r="R39" i="22" s="1"/>
  <c r="D24" i="22"/>
  <c r="F24" i="22"/>
  <c r="J24" i="22"/>
  <c r="L24" i="22"/>
  <c r="P24" i="22"/>
  <c r="R24" i="22"/>
  <c r="D19" i="22"/>
  <c r="F19" i="22"/>
  <c r="J19" i="22"/>
  <c r="L19" i="22"/>
  <c r="P19" i="22"/>
  <c r="R19" i="22"/>
  <c r="D15" i="22"/>
  <c r="F15" i="22"/>
  <c r="J15" i="22"/>
  <c r="L15" i="22"/>
  <c r="P15" i="22"/>
  <c r="R15" i="22"/>
  <c r="D11" i="22"/>
  <c r="D25" i="22" s="1"/>
  <c r="F11" i="22"/>
  <c r="J11" i="22"/>
  <c r="L11" i="22"/>
  <c r="L25" i="22" s="1"/>
  <c r="P11" i="22"/>
  <c r="P25" i="22" s="1"/>
  <c r="R11" i="22"/>
  <c r="R25" i="22" l="1"/>
  <c r="J39" i="22"/>
  <c r="P50" i="22"/>
  <c r="L50" i="22"/>
  <c r="L51" i="22" s="1"/>
  <c r="K17" i="17" s="1"/>
  <c r="D50" i="22"/>
  <c r="J25" i="22"/>
  <c r="J51" i="22" s="1"/>
  <c r="J17" i="17" s="1"/>
  <c r="F25" i="22"/>
  <c r="F51" i="22" s="1"/>
  <c r="G17" i="17" s="1"/>
  <c r="R51" i="22"/>
  <c r="O17" i="17" s="1"/>
  <c r="P39" i="22"/>
  <c r="P51" i="22" s="1"/>
  <c r="N17" i="17" s="1"/>
  <c r="D51" i="22"/>
  <c r="F17" i="17" s="1"/>
  <c r="I52" i="22" l="1"/>
  <c r="I53" i="22"/>
  <c r="Q53" i="22"/>
  <c r="Q53" i="23" s="1"/>
  <c r="Q53" i="24" s="1"/>
  <c r="Q53" i="25" s="1"/>
  <c r="Q53" i="26" s="1"/>
  <c r="Q53" i="27" s="1"/>
  <c r="G53" i="22"/>
  <c r="G53" i="23" s="1"/>
  <c r="G53" i="24" s="1"/>
  <c r="G53" i="25" s="1"/>
  <c r="G53" i="26" s="1"/>
  <c r="G53" i="27" s="1"/>
  <c r="E53" i="22"/>
  <c r="E53" i="23" s="1"/>
  <c r="E53" i="24" s="1"/>
  <c r="E53" i="25" s="1"/>
  <c r="E53" i="26" s="1"/>
  <c r="E53" i="27" s="1"/>
  <c r="C53" i="22"/>
  <c r="H53" i="22" s="1"/>
  <c r="C53" i="23" s="1"/>
  <c r="H53" i="23" s="1"/>
  <c r="C53" i="24" s="1"/>
  <c r="H53" i="24" s="1"/>
  <c r="C53" i="25" s="1"/>
  <c r="H53" i="25" s="1"/>
  <c r="C53" i="26" s="1"/>
  <c r="H53" i="26" s="1"/>
  <c r="C53" i="27" s="1"/>
  <c r="H53" i="27" s="1"/>
  <c r="Q52" i="22"/>
  <c r="Q52" i="23" s="1"/>
  <c r="Q52" i="24" s="1"/>
  <c r="Q52" i="25" s="1"/>
  <c r="Q52" i="26" s="1"/>
  <c r="Q52" i="27" s="1"/>
  <c r="G52" i="22"/>
  <c r="G52" i="23" s="1"/>
  <c r="G52" i="24" s="1"/>
  <c r="G52" i="25" s="1"/>
  <c r="G52" i="26" s="1"/>
  <c r="G52" i="27" s="1"/>
  <c r="E52" i="22"/>
  <c r="E52" i="23" s="1"/>
  <c r="E52" i="24" s="1"/>
  <c r="E52" i="25" s="1"/>
  <c r="E52" i="26" s="1"/>
  <c r="E52" i="27" s="1"/>
  <c r="C52" i="22"/>
  <c r="H52" i="22" s="1"/>
  <c r="C52" i="23" s="1"/>
  <c r="H52" i="23" s="1"/>
  <c r="C52" i="24" s="1"/>
  <c r="H52" i="24" s="1"/>
  <c r="C52" i="25" s="1"/>
  <c r="H52" i="25" s="1"/>
  <c r="C52" i="26" s="1"/>
  <c r="H52" i="26" s="1"/>
  <c r="C52" i="27" s="1"/>
  <c r="H52" i="27" s="1"/>
  <c r="P18" i="21" l="1"/>
  <c r="D49" i="21"/>
  <c r="D50" i="21" s="1"/>
  <c r="F49" i="21"/>
  <c r="F50" i="21" s="1"/>
  <c r="J49" i="21"/>
  <c r="J50" i="21" s="1"/>
  <c r="L49" i="21"/>
  <c r="L50" i="21" s="1"/>
  <c r="P49" i="21"/>
  <c r="P50" i="21" s="1"/>
  <c r="R49" i="21"/>
  <c r="R50" i="21" s="1"/>
  <c r="D44" i="21"/>
  <c r="F44" i="21"/>
  <c r="J44" i="21"/>
  <c r="L44" i="21"/>
  <c r="P44" i="21"/>
  <c r="R44" i="21"/>
  <c r="D38" i="21"/>
  <c r="D39" i="21" s="1"/>
  <c r="F38" i="21"/>
  <c r="F39" i="21" s="1"/>
  <c r="J38" i="21"/>
  <c r="J39" i="21" s="1"/>
  <c r="L38" i="21"/>
  <c r="L39" i="21" s="1"/>
  <c r="P38" i="21"/>
  <c r="P39" i="21" s="1"/>
  <c r="R38" i="21"/>
  <c r="R39" i="21" s="1"/>
  <c r="D33" i="21"/>
  <c r="F33" i="21"/>
  <c r="J33" i="21"/>
  <c r="L33" i="21"/>
  <c r="P33" i="21"/>
  <c r="R33" i="21"/>
  <c r="D28" i="21"/>
  <c r="F28" i="21"/>
  <c r="J28" i="21"/>
  <c r="L28" i="21"/>
  <c r="P28" i="21"/>
  <c r="R28" i="21"/>
  <c r="F24" i="21"/>
  <c r="F25" i="21" s="1"/>
  <c r="J24" i="21"/>
  <c r="L24" i="21"/>
  <c r="L25" i="21" s="1"/>
  <c r="P24" i="21"/>
  <c r="R24" i="21"/>
  <c r="R25" i="21" s="1"/>
  <c r="D19" i="21"/>
  <c r="F19" i="21"/>
  <c r="L19" i="21"/>
  <c r="P19" i="21"/>
  <c r="R19" i="21"/>
  <c r="D15" i="21"/>
  <c r="F15" i="21"/>
  <c r="J15" i="21"/>
  <c r="L15" i="21"/>
  <c r="R15" i="21"/>
  <c r="D11" i="21"/>
  <c r="F11" i="21"/>
  <c r="J11" i="21"/>
  <c r="L11" i="21"/>
  <c r="P11" i="21"/>
  <c r="R11" i="21"/>
  <c r="R51" i="21" l="1"/>
  <c r="L51" i="21"/>
  <c r="F51" i="21"/>
  <c r="H56" i="22" l="1"/>
  <c r="L59" i="22" s="1"/>
  <c r="P14" i="21"/>
  <c r="P15" i="21" s="1"/>
  <c r="P25" i="21" s="1"/>
  <c r="P51" i="21" s="1"/>
  <c r="I60" i="22" l="1"/>
  <c r="G63" i="22"/>
  <c r="H66" i="22"/>
  <c r="J59" i="22"/>
  <c r="H61" i="22"/>
  <c r="N58" i="22"/>
  <c r="J18" i="21"/>
  <c r="J19" i="21" s="1"/>
  <c r="J25" i="21" s="1"/>
  <c r="J51" i="21" s="1"/>
  <c r="D23" i="21" l="1"/>
  <c r="D24" i="21" s="1"/>
  <c r="D25" i="21" s="1"/>
  <c r="D51" i="21" s="1"/>
  <c r="Q14" i="21" l="1"/>
  <c r="Q14" i="22" s="1"/>
  <c r="Q14" i="23" s="1"/>
  <c r="Q14" i="24" l="1"/>
  <c r="Q14" i="25" s="1"/>
  <c r="Q14" i="26" s="1"/>
  <c r="Q14" i="27" s="1"/>
  <c r="C52" i="21"/>
  <c r="C53" i="21"/>
  <c r="S8" i="21"/>
  <c r="S8" i="22" s="1"/>
  <c r="S8" i="23" s="1"/>
  <c r="S8" i="24" s="1"/>
  <c r="S8" i="25" s="1"/>
  <c r="S8" i="26" s="1"/>
  <c r="S8" i="27" s="1"/>
  <c r="S9" i="21"/>
  <c r="S9" i="22" s="1"/>
  <c r="S9" i="23" s="1"/>
  <c r="S9" i="24" s="1"/>
  <c r="S9" i="25" s="1"/>
  <c r="S9" i="26" s="1"/>
  <c r="S9" i="27" s="1"/>
  <c r="S10" i="21"/>
  <c r="S10" i="22" s="1"/>
  <c r="S10" i="23" s="1"/>
  <c r="S10" i="24" s="1"/>
  <c r="S10" i="25" s="1"/>
  <c r="S10" i="26" s="1"/>
  <c r="S10" i="27" s="1"/>
  <c r="S12" i="21"/>
  <c r="S13" i="21"/>
  <c r="S13" i="22" s="1"/>
  <c r="S13" i="23" s="1"/>
  <c r="S13" i="24" s="1"/>
  <c r="S13" i="25" s="1"/>
  <c r="S13" i="26" s="1"/>
  <c r="S13" i="27" s="1"/>
  <c r="S14" i="21"/>
  <c r="S14" i="22" s="1"/>
  <c r="S14" i="23" s="1"/>
  <c r="S14" i="24" s="1"/>
  <c r="S14" i="25" s="1"/>
  <c r="S14" i="26" s="1"/>
  <c r="S14" i="27" s="1"/>
  <c r="S16" i="21"/>
  <c r="S17" i="21"/>
  <c r="S17" i="22" s="1"/>
  <c r="S17" i="23" s="1"/>
  <c r="S18" i="21"/>
  <c r="S18" i="22" s="1"/>
  <c r="S18" i="23" s="1"/>
  <c r="S18" i="24" s="1"/>
  <c r="S18" i="25" s="1"/>
  <c r="S18" i="26" s="1"/>
  <c r="S18" i="27" s="1"/>
  <c r="S20" i="21"/>
  <c r="S21" i="21"/>
  <c r="S21" i="22" s="1"/>
  <c r="S21" i="23" s="1"/>
  <c r="S21" i="24" s="1"/>
  <c r="S21" i="25" s="1"/>
  <c r="S21" i="26" s="1"/>
  <c r="S21" i="27" s="1"/>
  <c r="S22" i="21"/>
  <c r="S22" i="22" s="1"/>
  <c r="S22" i="23" s="1"/>
  <c r="S22" i="24" s="1"/>
  <c r="S22" i="25" s="1"/>
  <c r="S22" i="26" s="1"/>
  <c r="S22" i="27" s="1"/>
  <c r="S23" i="21"/>
  <c r="S23" i="22" s="1"/>
  <c r="S23" i="23" s="1"/>
  <c r="S23" i="24" s="1"/>
  <c r="S23" i="25" s="1"/>
  <c r="S23" i="26" s="1"/>
  <c r="S23" i="27" s="1"/>
  <c r="S26" i="21"/>
  <c r="S27" i="21"/>
  <c r="S27" i="22" s="1"/>
  <c r="S27" i="23" s="1"/>
  <c r="S27" i="24" s="1"/>
  <c r="S27" i="25" s="1"/>
  <c r="S27" i="26" s="1"/>
  <c r="S27" i="27" s="1"/>
  <c r="S29" i="21"/>
  <c r="S30" i="21"/>
  <c r="S30" i="22" s="1"/>
  <c r="S30" i="23" s="1"/>
  <c r="S30" i="24" s="1"/>
  <c r="S30" i="25" s="1"/>
  <c r="S30" i="26" s="1"/>
  <c r="S30" i="27" s="1"/>
  <c r="S31" i="21"/>
  <c r="S31" i="22" s="1"/>
  <c r="S31" i="23" s="1"/>
  <c r="S31" i="24" s="1"/>
  <c r="S31" i="25" s="1"/>
  <c r="S31" i="26" s="1"/>
  <c r="S31" i="27" s="1"/>
  <c r="S32" i="21"/>
  <c r="S32" i="22" s="1"/>
  <c r="S32" i="23" s="1"/>
  <c r="S32" i="24" s="1"/>
  <c r="S32" i="25" s="1"/>
  <c r="S32" i="26" s="1"/>
  <c r="S32" i="27" s="1"/>
  <c r="S34" i="21"/>
  <c r="S35" i="21"/>
  <c r="S35" i="22" s="1"/>
  <c r="S35" i="23" s="1"/>
  <c r="S35" i="24" s="1"/>
  <c r="S35" i="25" s="1"/>
  <c r="S35" i="26" s="1"/>
  <c r="S35" i="27" s="1"/>
  <c r="S36" i="21"/>
  <c r="S36" i="22" s="1"/>
  <c r="S36" i="23" s="1"/>
  <c r="S36" i="24" s="1"/>
  <c r="S36" i="25" s="1"/>
  <c r="S36" i="26" s="1"/>
  <c r="S36" i="27" s="1"/>
  <c r="S37" i="21"/>
  <c r="S37" i="22" s="1"/>
  <c r="S37" i="23" s="1"/>
  <c r="S37" i="24" s="1"/>
  <c r="S37" i="25" s="1"/>
  <c r="S37" i="26" s="1"/>
  <c r="S37" i="27" s="1"/>
  <c r="S40" i="21"/>
  <c r="S41" i="21"/>
  <c r="S41" i="22" s="1"/>
  <c r="S41" i="23" s="1"/>
  <c r="S41" i="24" s="1"/>
  <c r="S41" i="25" s="1"/>
  <c r="S41" i="26" s="1"/>
  <c r="S41" i="27" s="1"/>
  <c r="S42" i="21"/>
  <c r="S42" i="22" s="1"/>
  <c r="S42" i="23" s="1"/>
  <c r="S42" i="24" s="1"/>
  <c r="S42" i="25" s="1"/>
  <c r="S42" i="26" s="1"/>
  <c r="S42" i="27" s="1"/>
  <c r="S43" i="21"/>
  <c r="S43" i="22" s="1"/>
  <c r="S43" i="23" s="1"/>
  <c r="S43" i="24" s="1"/>
  <c r="S43" i="25" s="1"/>
  <c r="S43" i="26" s="1"/>
  <c r="S43" i="27" s="1"/>
  <c r="S45" i="21"/>
  <c r="S46" i="21"/>
  <c r="S46" i="22" s="1"/>
  <c r="S46" i="23" s="1"/>
  <c r="S46" i="24" s="1"/>
  <c r="S46" i="25" s="1"/>
  <c r="S46" i="26" s="1"/>
  <c r="S46" i="27" s="1"/>
  <c r="S47" i="21"/>
  <c r="S47" i="22" s="1"/>
  <c r="S47" i="23" s="1"/>
  <c r="S47" i="24" s="1"/>
  <c r="S47" i="25" s="1"/>
  <c r="S47" i="26" s="1"/>
  <c r="S47" i="27" s="1"/>
  <c r="S48" i="21"/>
  <c r="S48" i="22" s="1"/>
  <c r="S48" i="23" s="1"/>
  <c r="S48" i="24" s="1"/>
  <c r="S48" i="25" s="1"/>
  <c r="S48" i="26" s="1"/>
  <c r="S48" i="27" s="1"/>
  <c r="S52" i="21"/>
  <c r="S52" i="22" s="1"/>
  <c r="S52" i="23" s="1"/>
  <c r="S52" i="24" s="1"/>
  <c r="S52" i="25" s="1"/>
  <c r="S52" i="26" s="1"/>
  <c r="S52" i="27" s="1"/>
  <c r="S53" i="21"/>
  <c r="S53" i="22" s="1"/>
  <c r="S53" i="23" s="1"/>
  <c r="S53" i="24" s="1"/>
  <c r="S53" i="25" s="1"/>
  <c r="S53" i="26" s="1"/>
  <c r="S53" i="27" s="1"/>
  <c r="S7" i="21"/>
  <c r="Q8" i="21"/>
  <c r="Q8" i="22" s="1"/>
  <c r="Q9" i="21"/>
  <c r="Q9" i="22" s="1"/>
  <c r="Q9" i="23" s="1"/>
  <c r="Q9" i="24" s="1"/>
  <c r="Q10" i="21"/>
  <c r="Q10" i="22" s="1"/>
  <c r="Q10" i="23" s="1"/>
  <c r="Q12" i="21"/>
  <c r="Q13" i="21"/>
  <c r="Q13" i="22" s="1"/>
  <c r="Q13" i="23" s="1"/>
  <c r="Q13" i="24" s="1"/>
  <c r="Q13" i="25" s="1"/>
  <c r="Q13" i="26" s="1"/>
  <c r="Q13" i="27" s="1"/>
  <c r="Q16" i="21"/>
  <c r="Q16" i="22" s="1"/>
  <c r="Q17" i="21"/>
  <c r="Q17" i="22" s="1"/>
  <c r="Q17" i="23" s="1"/>
  <c r="Q17" i="24" s="1"/>
  <c r="Q17" i="25" s="1"/>
  <c r="Q17" i="26" s="1"/>
  <c r="Q17" i="27" s="1"/>
  <c r="Q18" i="21"/>
  <c r="Q18" i="22" s="1"/>
  <c r="Q18" i="23" s="1"/>
  <c r="Q18" i="24" s="1"/>
  <c r="Q18" i="25" s="1"/>
  <c r="Q18" i="26" s="1"/>
  <c r="Q18" i="27" s="1"/>
  <c r="Q20" i="21"/>
  <c r="Q21" i="21"/>
  <c r="Q21" i="22" s="1"/>
  <c r="Q21" i="23" s="1"/>
  <c r="Q21" i="24" s="1"/>
  <c r="Q21" i="25" s="1"/>
  <c r="Q21" i="26" s="1"/>
  <c r="Q21" i="27" s="1"/>
  <c r="Q22" i="21"/>
  <c r="Q22" i="22" s="1"/>
  <c r="Q22" i="23" s="1"/>
  <c r="Q22" i="24" s="1"/>
  <c r="Q22" i="25" s="1"/>
  <c r="Q22" i="26" s="1"/>
  <c r="Q23" i="21"/>
  <c r="Q23" i="22" s="1"/>
  <c r="Q23" i="23" s="1"/>
  <c r="Q23" i="24" s="1"/>
  <c r="Q23" i="25" s="1"/>
  <c r="Q23" i="26" s="1"/>
  <c r="Q23" i="27" s="1"/>
  <c r="Q26" i="21"/>
  <c r="Q27" i="21"/>
  <c r="Q27" i="22" s="1"/>
  <c r="Q27" i="23" s="1"/>
  <c r="Q27" i="24" s="1"/>
  <c r="Q29" i="21"/>
  <c r="Q30" i="21"/>
  <c r="Q30" i="22" s="1"/>
  <c r="Q30" i="23" s="1"/>
  <c r="Q30" i="24" s="1"/>
  <c r="Q30" i="25" s="1"/>
  <c r="Q30" i="26" s="1"/>
  <c r="Q30" i="27" s="1"/>
  <c r="Q31" i="21"/>
  <c r="Q31" i="22" s="1"/>
  <c r="Q31" i="23" s="1"/>
  <c r="Q31" i="24" s="1"/>
  <c r="Q31" i="25" s="1"/>
  <c r="Q31" i="26" s="1"/>
  <c r="Q31" i="27" s="1"/>
  <c r="Q32" i="21"/>
  <c r="Q32" i="22" s="1"/>
  <c r="Q32" i="23" s="1"/>
  <c r="Q32" i="24" s="1"/>
  <c r="Q34" i="21"/>
  <c r="Q35" i="21"/>
  <c r="Q35" i="22" s="1"/>
  <c r="Q35" i="23" s="1"/>
  <c r="Q35" i="24" s="1"/>
  <c r="Q35" i="25" s="1"/>
  <c r="Q35" i="26" s="1"/>
  <c r="Q36" i="21"/>
  <c r="Q36" i="22" s="1"/>
  <c r="Q36" i="23" s="1"/>
  <c r="Q36" i="24" s="1"/>
  <c r="Q37" i="21"/>
  <c r="Q37" i="22" s="1"/>
  <c r="Q37" i="23" s="1"/>
  <c r="Q37" i="24" s="1"/>
  <c r="Q37" i="25" s="1"/>
  <c r="Q37" i="26" s="1"/>
  <c r="Q37" i="27" s="1"/>
  <c r="Q40" i="21"/>
  <c r="Q41" i="21"/>
  <c r="Q41" i="22" s="1"/>
  <c r="Q41" i="23" s="1"/>
  <c r="Q41" i="24" s="1"/>
  <c r="Q41" i="25" s="1"/>
  <c r="Q41" i="26" s="1"/>
  <c r="Q41" i="27" s="1"/>
  <c r="Q42" i="21"/>
  <c r="Q42" i="22" s="1"/>
  <c r="Q42" i="23" s="1"/>
  <c r="Q42" i="24" s="1"/>
  <c r="Q42" i="25" s="1"/>
  <c r="Q42" i="26" s="1"/>
  <c r="Q42" i="27" s="1"/>
  <c r="Q43" i="21"/>
  <c r="Q43" i="22" s="1"/>
  <c r="Q43" i="23" s="1"/>
  <c r="Q43" i="24" s="1"/>
  <c r="Q43" i="25" s="1"/>
  <c r="Q43" i="26" s="1"/>
  <c r="Q43" i="27" s="1"/>
  <c r="Q45" i="21"/>
  <c r="Q46" i="21"/>
  <c r="Q46" i="22" s="1"/>
  <c r="Q46" i="23" s="1"/>
  <c r="Q46" i="24" s="1"/>
  <c r="Q46" i="25" s="1"/>
  <c r="Q46" i="26" s="1"/>
  <c r="Q46" i="27" s="1"/>
  <c r="Q47" i="21"/>
  <c r="Q47" i="22" s="1"/>
  <c r="Q47" i="23" s="1"/>
  <c r="Q47" i="24" s="1"/>
  <c r="Q47" i="25" s="1"/>
  <c r="Q47" i="26" s="1"/>
  <c r="Q47" i="27" s="1"/>
  <c r="Q48" i="21"/>
  <c r="Q48" i="22" s="1"/>
  <c r="Q48" i="23" s="1"/>
  <c r="Q48" i="24" s="1"/>
  <c r="Q48" i="25" s="1"/>
  <c r="Q48" i="26" s="1"/>
  <c r="Q48" i="27" s="1"/>
  <c r="Q52" i="21"/>
  <c r="Q53" i="21"/>
  <c r="Q7" i="21"/>
  <c r="M8" i="21"/>
  <c r="M8" i="22" s="1"/>
  <c r="M8" i="23" s="1"/>
  <c r="M8" i="24" s="1"/>
  <c r="M8" i="25" s="1"/>
  <c r="M8" i="26" s="1"/>
  <c r="M8" i="27" s="1"/>
  <c r="M9" i="21"/>
  <c r="M9" i="22" s="1"/>
  <c r="M9" i="23" s="1"/>
  <c r="M9" i="24" s="1"/>
  <c r="M9" i="25" s="1"/>
  <c r="M9" i="26" s="1"/>
  <c r="M9" i="27" s="1"/>
  <c r="M10" i="21"/>
  <c r="M10" i="22" s="1"/>
  <c r="M10" i="23" s="1"/>
  <c r="M10" i="24" s="1"/>
  <c r="M10" i="25" s="1"/>
  <c r="M10" i="26" s="1"/>
  <c r="M10" i="27" s="1"/>
  <c r="M12" i="21"/>
  <c r="M13" i="21"/>
  <c r="M13" i="22" s="1"/>
  <c r="M13" i="23" s="1"/>
  <c r="M13" i="24" s="1"/>
  <c r="M14" i="21"/>
  <c r="M14" i="22" s="1"/>
  <c r="M14" i="23" s="1"/>
  <c r="M14" i="24" s="1"/>
  <c r="M14" i="25" s="1"/>
  <c r="M14" i="26" s="1"/>
  <c r="M14" i="27" s="1"/>
  <c r="M16" i="21"/>
  <c r="M17" i="21"/>
  <c r="M17" i="22" s="1"/>
  <c r="M17" i="23" s="1"/>
  <c r="M18" i="21"/>
  <c r="M18" i="22" s="1"/>
  <c r="M18" i="23" s="1"/>
  <c r="M18" i="24" s="1"/>
  <c r="M18" i="25" s="1"/>
  <c r="M18" i="26" s="1"/>
  <c r="M18" i="27" s="1"/>
  <c r="M20" i="21"/>
  <c r="M21" i="21"/>
  <c r="M21" i="22" s="1"/>
  <c r="M21" i="23" s="1"/>
  <c r="M21" i="24" s="1"/>
  <c r="M21" i="25" s="1"/>
  <c r="M21" i="26" s="1"/>
  <c r="M21" i="27" s="1"/>
  <c r="M22" i="21"/>
  <c r="M22" i="22" s="1"/>
  <c r="M22" i="23" s="1"/>
  <c r="M22" i="24" s="1"/>
  <c r="M22" i="25" s="1"/>
  <c r="M22" i="26" s="1"/>
  <c r="M22" i="27" s="1"/>
  <c r="M23" i="21"/>
  <c r="M23" i="22" s="1"/>
  <c r="M23" i="23" s="1"/>
  <c r="M23" i="24" s="1"/>
  <c r="M23" i="25" s="1"/>
  <c r="M23" i="26" s="1"/>
  <c r="M23" i="27" s="1"/>
  <c r="M26" i="21"/>
  <c r="M27" i="21"/>
  <c r="M27" i="22" s="1"/>
  <c r="M27" i="23" s="1"/>
  <c r="M27" i="24" s="1"/>
  <c r="M27" i="25" s="1"/>
  <c r="M27" i="26" s="1"/>
  <c r="M27" i="27" s="1"/>
  <c r="M29" i="21"/>
  <c r="M30" i="21"/>
  <c r="M30" i="22" s="1"/>
  <c r="M30" i="23" s="1"/>
  <c r="M30" i="24" s="1"/>
  <c r="M30" i="25" s="1"/>
  <c r="M30" i="26" s="1"/>
  <c r="M30" i="27" s="1"/>
  <c r="M31" i="21"/>
  <c r="M31" i="22" s="1"/>
  <c r="M31" i="23" s="1"/>
  <c r="M31" i="24" s="1"/>
  <c r="M31" i="25" s="1"/>
  <c r="M31" i="26" s="1"/>
  <c r="M31" i="27" s="1"/>
  <c r="M32" i="21"/>
  <c r="M32" i="22" s="1"/>
  <c r="M32" i="23" s="1"/>
  <c r="M32" i="24" s="1"/>
  <c r="M32" i="25" s="1"/>
  <c r="M32" i="26" s="1"/>
  <c r="M32" i="27" s="1"/>
  <c r="M34" i="21"/>
  <c r="M35" i="21"/>
  <c r="M35" i="22" s="1"/>
  <c r="M35" i="23" s="1"/>
  <c r="M35" i="24" s="1"/>
  <c r="M35" i="25" s="1"/>
  <c r="M35" i="26" s="1"/>
  <c r="M35" i="27" s="1"/>
  <c r="M36" i="21"/>
  <c r="M36" i="22" s="1"/>
  <c r="M36" i="23" s="1"/>
  <c r="M36" i="24" s="1"/>
  <c r="M36" i="25" s="1"/>
  <c r="M36" i="26" s="1"/>
  <c r="M36" i="27" s="1"/>
  <c r="M37" i="21"/>
  <c r="M37" i="22" s="1"/>
  <c r="M37" i="23" s="1"/>
  <c r="M37" i="24" s="1"/>
  <c r="M37" i="25" s="1"/>
  <c r="M37" i="26" s="1"/>
  <c r="M37" i="27" s="1"/>
  <c r="M40" i="21"/>
  <c r="M41" i="21"/>
  <c r="M41" i="22" s="1"/>
  <c r="M41" i="23" s="1"/>
  <c r="M41" i="24" s="1"/>
  <c r="M41" i="25" s="1"/>
  <c r="M41" i="26" s="1"/>
  <c r="M41" i="27" s="1"/>
  <c r="M42" i="21"/>
  <c r="M42" i="22" s="1"/>
  <c r="M42" i="23" s="1"/>
  <c r="M42" i="24" s="1"/>
  <c r="M42" i="25" s="1"/>
  <c r="M42" i="26" s="1"/>
  <c r="M42" i="27" s="1"/>
  <c r="M43" i="21"/>
  <c r="M43" i="22" s="1"/>
  <c r="M43" i="23" s="1"/>
  <c r="M43" i="24" s="1"/>
  <c r="M43" i="25" s="1"/>
  <c r="M43" i="26" s="1"/>
  <c r="M43" i="27" s="1"/>
  <c r="M45" i="21"/>
  <c r="M46" i="21"/>
  <c r="M46" i="22" s="1"/>
  <c r="M46" i="23" s="1"/>
  <c r="M46" i="24" s="1"/>
  <c r="M46" i="25" s="1"/>
  <c r="M46" i="26" s="1"/>
  <c r="M46" i="27" s="1"/>
  <c r="M47" i="21"/>
  <c r="M47" i="22" s="1"/>
  <c r="M47" i="23" s="1"/>
  <c r="M47" i="24" s="1"/>
  <c r="M47" i="25" s="1"/>
  <c r="M47" i="26" s="1"/>
  <c r="M47" i="27" s="1"/>
  <c r="M48" i="21"/>
  <c r="M48" i="22" s="1"/>
  <c r="M48" i="23" s="1"/>
  <c r="M48" i="24" s="1"/>
  <c r="M48" i="25" s="1"/>
  <c r="M48" i="26" s="1"/>
  <c r="M48" i="27" s="1"/>
  <c r="M52" i="21"/>
  <c r="M52" i="22" s="1"/>
  <c r="M52" i="23" s="1"/>
  <c r="M52" i="24" s="1"/>
  <c r="M52" i="25" s="1"/>
  <c r="M52" i="26" s="1"/>
  <c r="M52" i="27" s="1"/>
  <c r="M53" i="21"/>
  <c r="M53" i="22" s="1"/>
  <c r="M53" i="23" s="1"/>
  <c r="M53" i="24" s="1"/>
  <c r="M53" i="25" s="1"/>
  <c r="M53" i="26" s="1"/>
  <c r="M53" i="27" s="1"/>
  <c r="M7" i="21"/>
  <c r="K8" i="21"/>
  <c r="K8" i="22" s="1"/>
  <c r="K8" i="23" s="1"/>
  <c r="K8" i="24" s="1"/>
  <c r="K8" i="25" s="1"/>
  <c r="K8" i="26" s="1"/>
  <c r="K8" i="27" s="1"/>
  <c r="K9" i="21"/>
  <c r="K9" i="22" s="1"/>
  <c r="K9" i="23" s="1"/>
  <c r="K9" i="24" s="1"/>
  <c r="K9" i="25" s="1"/>
  <c r="K9" i="26" s="1"/>
  <c r="K9" i="27" s="1"/>
  <c r="K10" i="21"/>
  <c r="K10" i="22" s="1"/>
  <c r="K10" i="23" s="1"/>
  <c r="K10" i="24" s="1"/>
  <c r="K10" i="25" s="1"/>
  <c r="K10" i="26" s="1"/>
  <c r="K10" i="27" s="1"/>
  <c r="K12" i="21"/>
  <c r="K13" i="21"/>
  <c r="K13" i="22" s="1"/>
  <c r="K13" i="23" s="1"/>
  <c r="K13" i="24" s="1"/>
  <c r="K13" i="25" s="1"/>
  <c r="K13" i="26" s="1"/>
  <c r="K13" i="27" s="1"/>
  <c r="K14" i="21"/>
  <c r="K14" i="22" s="1"/>
  <c r="K14" i="23" s="1"/>
  <c r="K14" i="24" s="1"/>
  <c r="K14" i="25" s="1"/>
  <c r="K14" i="26" s="1"/>
  <c r="K14" i="27" s="1"/>
  <c r="K16" i="21"/>
  <c r="K17" i="21"/>
  <c r="K17" i="22" s="1"/>
  <c r="K17" i="23" s="1"/>
  <c r="K17" i="24" s="1"/>
  <c r="K17" i="25" s="1"/>
  <c r="K17" i="26" s="1"/>
  <c r="K17" i="27" s="1"/>
  <c r="K18" i="21"/>
  <c r="K18" i="22" s="1"/>
  <c r="K18" i="23" s="1"/>
  <c r="K18" i="24" s="1"/>
  <c r="K18" i="25" s="1"/>
  <c r="K18" i="26" s="1"/>
  <c r="K18" i="27" s="1"/>
  <c r="K20" i="21"/>
  <c r="K21" i="21"/>
  <c r="K21" i="22" s="1"/>
  <c r="K21" i="23" s="1"/>
  <c r="K21" i="24" s="1"/>
  <c r="K21" i="25" s="1"/>
  <c r="K21" i="26" s="1"/>
  <c r="K21" i="27" s="1"/>
  <c r="K22" i="21"/>
  <c r="K22" i="22" s="1"/>
  <c r="K22" i="23" s="1"/>
  <c r="K22" i="24" s="1"/>
  <c r="K22" i="25" s="1"/>
  <c r="K22" i="26" s="1"/>
  <c r="K22" i="27" s="1"/>
  <c r="K23" i="21"/>
  <c r="K23" i="22" s="1"/>
  <c r="K23" i="23" s="1"/>
  <c r="K23" i="24" s="1"/>
  <c r="K23" i="25" s="1"/>
  <c r="K23" i="26" s="1"/>
  <c r="K23" i="27" s="1"/>
  <c r="K26" i="21"/>
  <c r="K27" i="21"/>
  <c r="K27" i="22" s="1"/>
  <c r="K27" i="23" s="1"/>
  <c r="K29" i="21"/>
  <c r="K30" i="21"/>
  <c r="K30" i="22" s="1"/>
  <c r="K30" i="23" s="1"/>
  <c r="K30" i="24" s="1"/>
  <c r="K30" i="25" s="1"/>
  <c r="K30" i="26" s="1"/>
  <c r="K30" i="27" s="1"/>
  <c r="K31" i="21"/>
  <c r="K31" i="22" s="1"/>
  <c r="K31" i="23" s="1"/>
  <c r="K31" i="24" s="1"/>
  <c r="K31" i="25" s="1"/>
  <c r="K31" i="26" s="1"/>
  <c r="K31" i="27" s="1"/>
  <c r="K32" i="21"/>
  <c r="K32" i="22" s="1"/>
  <c r="K34" i="21"/>
  <c r="K35" i="21"/>
  <c r="K35" i="22" s="1"/>
  <c r="K35" i="23" s="1"/>
  <c r="K35" i="24" s="1"/>
  <c r="K35" i="25" s="1"/>
  <c r="K35" i="26" s="1"/>
  <c r="K35" i="27" s="1"/>
  <c r="K36" i="21"/>
  <c r="K36" i="22" s="1"/>
  <c r="K36" i="23" s="1"/>
  <c r="K36" i="24" s="1"/>
  <c r="K36" i="25" s="1"/>
  <c r="K36" i="26" s="1"/>
  <c r="K36" i="27" s="1"/>
  <c r="K37" i="21"/>
  <c r="K37" i="22" s="1"/>
  <c r="K37" i="23" s="1"/>
  <c r="K37" i="24" s="1"/>
  <c r="K37" i="25" s="1"/>
  <c r="K37" i="26" s="1"/>
  <c r="K37" i="27" s="1"/>
  <c r="K40" i="21"/>
  <c r="K41" i="21"/>
  <c r="K41" i="22" s="1"/>
  <c r="K41" i="23" s="1"/>
  <c r="K41" i="24" s="1"/>
  <c r="K41" i="25" s="1"/>
  <c r="K41" i="26" s="1"/>
  <c r="K41" i="27" s="1"/>
  <c r="K42" i="21"/>
  <c r="K42" i="22" s="1"/>
  <c r="K42" i="23" s="1"/>
  <c r="K42" i="24" s="1"/>
  <c r="K42" i="25" s="1"/>
  <c r="K42" i="26" s="1"/>
  <c r="K42" i="27" s="1"/>
  <c r="K43" i="21"/>
  <c r="K43" i="22" s="1"/>
  <c r="K43" i="23" s="1"/>
  <c r="K43" i="24" s="1"/>
  <c r="K43" i="25" s="1"/>
  <c r="K43" i="26" s="1"/>
  <c r="K43" i="27" s="1"/>
  <c r="K45" i="21"/>
  <c r="K46" i="21"/>
  <c r="K46" i="22" s="1"/>
  <c r="K46" i="23" s="1"/>
  <c r="K46" i="24" s="1"/>
  <c r="K46" i="25" s="1"/>
  <c r="K46" i="26" s="1"/>
  <c r="K46" i="27" s="1"/>
  <c r="K47" i="21"/>
  <c r="K47" i="22" s="1"/>
  <c r="K47" i="23" s="1"/>
  <c r="K47" i="24" s="1"/>
  <c r="K47" i="25" s="1"/>
  <c r="K47" i="26" s="1"/>
  <c r="K47" i="27" s="1"/>
  <c r="K48" i="21"/>
  <c r="K48" i="22" s="1"/>
  <c r="K48" i="23" s="1"/>
  <c r="K48" i="24" s="1"/>
  <c r="K48" i="25" s="1"/>
  <c r="K48" i="26" s="1"/>
  <c r="K48" i="27" s="1"/>
  <c r="K52" i="21"/>
  <c r="K52" i="22" s="1"/>
  <c r="K52" i="23" s="1"/>
  <c r="K52" i="24" s="1"/>
  <c r="K52" i="25" s="1"/>
  <c r="K52" i="26" s="1"/>
  <c r="K52" i="27" s="1"/>
  <c r="K53" i="21"/>
  <c r="K53" i="22" s="1"/>
  <c r="K53" i="23" s="1"/>
  <c r="K53" i="24" s="1"/>
  <c r="K53" i="25" s="1"/>
  <c r="K53" i="26" s="1"/>
  <c r="K53" i="27" s="1"/>
  <c r="K7" i="21"/>
  <c r="G8" i="21"/>
  <c r="G8" i="22" s="1"/>
  <c r="G8" i="23" s="1"/>
  <c r="G8" i="24" s="1"/>
  <c r="G8" i="25" s="1"/>
  <c r="G8" i="26" s="1"/>
  <c r="G8" i="27" s="1"/>
  <c r="G9" i="21"/>
  <c r="G9" i="22" s="1"/>
  <c r="G10" i="21"/>
  <c r="G10" i="22" s="1"/>
  <c r="G10" i="23" s="1"/>
  <c r="G10" i="24" s="1"/>
  <c r="G10" i="25" s="1"/>
  <c r="G10" i="26" s="1"/>
  <c r="G10" i="27" s="1"/>
  <c r="G12" i="21"/>
  <c r="G13" i="21"/>
  <c r="G13" i="22" s="1"/>
  <c r="G13" i="23" s="1"/>
  <c r="G13" i="24" s="1"/>
  <c r="G13" i="25" s="1"/>
  <c r="G13" i="26" s="1"/>
  <c r="G13" i="27" s="1"/>
  <c r="G14" i="21"/>
  <c r="G14" i="22" s="1"/>
  <c r="G14" i="23" s="1"/>
  <c r="G14" i="24" s="1"/>
  <c r="G14" i="25" s="1"/>
  <c r="G14" i="26" s="1"/>
  <c r="G14" i="27" s="1"/>
  <c r="G16" i="21"/>
  <c r="G17" i="21"/>
  <c r="G17" i="22" s="1"/>
  <c r="G17" i="23" s="1"/>
  <c r="G17" i="24" s="1"/>
  <c r="G17" i="25" s="1"/>
  <c r="G17" i="26" s="1"/>
  <c r="G17" i="27" s="1"/>
  <c r="G18" i="21"/>
  <c r="G18" i="22" s="1"/>
  <c r="G18" i="23" s="1"/>
  <c r="G18" i="24" s="1"/>
  <c r="G18" i="25" s="1"/>
  <c r="G18" i="26" s="1"/>
  <c r="G18" i="27" s="1"/>
  <c r="G20" i="21"/>
  <c r="G21" i="21"/>
  <c r="G21" i="22" s="1"/>
  <c r="G21" i="23" s="1"/>
  <c r="G21" i="24" s="1"/>
  <c r="G21" i="25" s="1"/>
  <c r="G21" i="26" s="1"/>
  <c r="G21" i="27" s="1"/>
  <c r="G22" i="21"/>
  <c r="G22" i="22" s="1"/>
  <c r="G22" i="23" s="1"/>
  <c r="G22" i="24" s="1"/>
  <c r="G22" i="25" s="1"/>
  <c r="G22" i="26" s="1"/>
  <c r="G22" i="27" s="1"/>
  <c r="G23" i="21"/>
  <c r="G23" i="22" s="1"/>
  <c r="G23" i="23" s="1"/>
  <c r="G23" i="24" s="1"/>
  <c r="G23" i="25" s="1"/>
  <c r="G23" i="26" s="1"/>
  <c r="G23" i="27" s="1"/>
  <c r="G26" i="21"/>
  <c r="G27" i="21"/>
  <c r="G27" i="22" s="1"/>
  <c r="G27" i="23" s="1"/>
  <c r="G27" i="24" s="1"/>
  <c r="G27" i="25" s="1"/>
  <c r="G27" i="26" s="1"/>
  <c r="G27" i="27" s="1"/>
  <c r="G29" i="21"/>
  <c r="G30" i="21"/>
  <c r="G30" i="22" s="1"/>
  <c r="G30" i="23" s="1"/>
  <c r="G30" i="24" s="1"/>
  <c r="G30" i="25" s="1"/>
  <c r="G30" i="26" s="1"/>
  <c r="G30" i="27" s="1"/>
  <c r="G31" i="21"/>
  <c r="G31" i="22" s="1"/>
  <c r="G31" i="23" s="1"/>
  <c r="G31" i="24" s="1"/>
  <c r="G31" i="25" s="1"/>
  <c r="G31" i="26" s="1"/>
  <c r="G31" i="27" s="1"/>
  <c r="G32" i="21"/>
  <c r="G32" i="22" s="1"/>
  <c r="G32" i="23" s="1"/>
  <c r="G32" i="24" s="1"/>
  <c r="G32" i="25" s="1"/>
  <c r="G32" i="26" s="1"/>
  <c r="G32" i="27" s="1"/>
  <c r="G34" i="21"/>
  <c r="G35" i="21"/>
  <c r="G35" i="22" s="1"/>
  <c r="G35" i="23" s="1"/>
  <c r="G35" i="24" s="1"/>
  <c r="G35" i="25" s="1"/>
  <c r="G35" i="26" s="1"/>
  <c r="G35" i="27" s="1"/>
  <c r="G36" i="21"/>
  <c r="G36" i="22" s="1"/>
  <c r="G36" i="23" s="1"/>
  <c r="G36" i="24" s="1"/>
  <c r="G36" i="25" s="1"/>
  <c r="G36" i="26" s="1"/>
  <c r="G36" i="27" s="1"/>
  <c r="G37" i="21"/>
  <c r="G37" i="22" s="1"/>
  <c r="G37" i="23" s="1"/>
  <c r="G37" i="24" s="1"/>
  <c r="G37" i="25" s="1"/>
  <c r="G37" i="26" s="1"/>
  <c r="G37" i="27" s="1"/>
  <c r="G40" i="21"/>
  <c r="G41" i="21"/>
  <c r="G41" i="22" s="1"/>
  <c r="G41" i="23" s="1"/>
  <c r="G41" i="24" s="1"/>
  <c r="G41" i="25" s="1"/>
  <c r="G41" i="26" s="1"/>
  <c r="G41" i="27" s="1"/>
  <c r="G42" i="21"/>
  <c r="G42" i="22" s="1"/>
  <c r="G42" i="23" s="1"/>
  <c r="G42" i="24" s="1"/>
  <c r="G42" i="25" s="1"/>
  <c r="G42" i="26" s="1"/>
  <c r="G42" i="27" s="1"/>
  <c r="G43" i="21"/>
  <c r="G43" i="22" s="1"/>
  <c r="G43" i="23" s="1"/>
  <c r="G43" i="24" s="1"/>
  <c r="G43" i="25" s="1"/>
  <c r="G43" i="26" s="1"/>
  <c r="G43" i="27" s="1"/>
  <c r="G45" i="21"/>
  <c r="G46" i="21"/>
  <c r="G46" i="22" s="1"/>
  <c r="G46" i="23" s="1"/>
  <c r="G46" i="24" s="1"/>
  <c r="G46" i="25" s="1"/>
  <c r="G46" i="26" s="1"/>
  <c r="G46" i="27" s="1"/>
  <c r="G47" i="21"/>
  <c r="G47" i="22" s="1"/>
  <c r="G47" i="23" s="1"/>
  <c r="G47" i="24" s="1"/>
  <c r="G47" i="25" s="1"/>
  <c r="G47" i="26" s="1"/>
  <c r="G47" i="27" s="1"/>
  <c r="G48" i="21"/>
  <c r="G48" i="22" s="1"/>
  <c r="G48" i="23" s="1"/>
  <c r="G48" i="24" s="1"/>
  <c r="G48" i="25" s="1"/>
  <c r="G48" i="26" s="1"/>
  <c r="G48" i="27" s="1"/>
  <c r="G52" i="21"/>
  <c r="G53" i="21"/>
  <c r="G7" i="21"/>
  <c r="E8" i="21"/>
  <c r="E8" i="22" s="1"/>
  <c r="E8" i="23" s="1"/>
  <c r="E9" i="21"/>
  <c r="E9" i="22" s="1"/>
  <c r="E9" i="23" s="1"/>
  <c r="E9" i="24" s="1"/>
  <c r="E9" i="25" s="1"/>
  <c r="E9" i="26" s="1"/>
  <c r="E9" i="27" s="1"/>
  <c r="E10" i="21"/>
  <c r="E10" i="22" s="1"/>
  <c r="E10" i="23" s="1"/>
  <c r="E10" i="24" s="1"/>
  <c r="E10" i="25" s="1"/>
  <c r="E10" i="26" s="1"/>
  <c r="E10" i="27" s="1"/>
  <c r="E12" i="21"/>
  <c r="E13" i="21"/>
  <c r="E13" i="22" s="1"/>
  <c r="E13" i="23" s="1"/>
  <c r="E13" i="24" s="1"/>
  <c r="E13" i="25" s="1"/>
  <c r="E13" i="26" s="1"/>
  <c r="E13" i="27" s="1"/>
  <c r="E14" i="21"/>
  <c r="E14" i="22" s="1"/>
  <c r="E14" i="23" s="1"/>
  <c r="E14" i="24" s="1"/>
  <c r="E14" i="25" s="1"/>
  <c r="E14" i="26" s="1"/>
  <c r="E16" i="21"/>
  <c r="E17" i="21"/>
  <c r="E17" i="22" s="1"/>
  <c r="E17" i="23" s="1"/>
  <c r="E17" i="24" s="1"/>
  <c r="E17" i="25" s="1"/>
  <c r="E17" i="26" s="1"/>
  <c r="E17" i="27" s="1"/>
  <c r="E18" i="21"/>
  <c r="E18" i="22" s="1"/>
  <c r="E18" i="23" s="1"/>
  <c r="E18" i="24" s="1"/>
  <c r="E18" i="25" s="1"/>
  <c r="E18" i="26" s="1"/>
  <c r="E18" i="27" s="1"/>
  <c r="E20" i="21"/>
  <c r="E21" i="21"/>
  <c r="E21" i="22" s="1"/>
  <c r="E21" i="23" s="1"/>
  <c r="E21" i="24" s="1"/>
  <c r="E21" i="25" s="1"/>
  <c r="E21" i="26" s="1"/>
  <c r="E21" i="27" s="1"/>
  <c r="E22" i="21"/>
  <c r="E22" i="22" s="1"/>
  <c r="E22" i="23" s="1"/>
  <c r="E22" i="24" s="1"/>
  <c r="E22" i="25" s="1"/>
  <c r="E22" i="26" s="1"/>
  <c r="E22" i="27" s="1"/>
  <c r="E23" i="21"/>
  <c r="E23" i="22" s="1"/>
  <c r="E23" i="23" s="1"/>
  <c r="E26" i="21"/>
  <c r="E27" i="21"/>
  <c r="E27" i="22" s="1"/>
  <c r="E27" i="23" s="1"/>
  <c r="E27" i="24" s="1"/>
  <c r="E27" i="25" s="1"/>
  <c r="E27" i="26" s="1"/>
  <c r="E27" i="27" s="1"/>
  <c r="E29" i="21"/>
  <c r="E30" i="21"/>
  <c r="E30" i="22" s="1"/>
  <c r="E30" i="23" s="1"/>
  <c r="E30" i="24" s="1"/>
  <c r="E30" i="25" s="1"/>
  <c r="E30" i="26" s="1"/>
  <c r="E31" i="21"/>
  <c r="E31" i="22" s="1"/>
  <c r="E31" i="23" s="1"/>
  <c r="E31" i="24" s="1"/>
  <c r="E31" i="25" s="1"/>
  <c r="E31" i="26" s="1"/>
  <c r="E31" i="27" s="1"/>
  <c r="E32" i="21"/>
  <c r="E32" i="22" s="1"/>
  <c r="E32" i="23" s="1"/>
  <c r="E32" i="24" s="1"/>
  <c r="E32" i="25" s="1"/>
  <c r="E32" i="26" s="1"/>
  <c r="E32" i="27" s="1"/>
  <c r="E34" i="21"/>
  <c r="E35" i="21"/>
  <c r="E35" i="22" s="1"/>
  <c r="E35" i="23" s="1"/>
  <c r="E35" i="24" s="1"/>
  <c r="E36" i="21"/>
  <c r="E36" i="22" s="1"/>
  <c r="E36" i="23" s="1"/>
  <c r="E36" i="24" s="1"/>
  <c r="E36" i="25" s="1"/>
  <c r="E36" i="26" s="1"/>
  <c r="E36" i="27" s="1"/>
  <c r="E37" i="21"/>
  <c r="E37" i="22" s="1"/>
  <c r="E37" i="23" s="1"/>
  <c r="E37" i="24" s="1"/>
  <c r="E37" i="25" s="1"/>
  <c r="E37" i="26" s="1"/>
  <c r="E37" i="27" s="1"/>
  <c r="E40" i="21"/>
  <c r="E41" i="21"/>
  <c r="E41" i="22" s="1"/>
  <c r="E41" i="23" s="1"/>
  <c r="E41" i="24" s="1"/>
  <c r="E41" i="25" s="1"/>
  <c r="E41" i="26" s="1"/>
  <c r="E41" i="27" s="1"/>
  <c r="E42" i="21"/>
  <c r="E42" i="22" s="1"/>
  <c r="E42" i="23" s="1"/>
  <c r="E42" i="24" s="1"/>
  <c r="E42" i="25" s="1"/>
  <c r="E42" i="26" s="1"/>
  <c r="E42" i="27" s="1"/>
  <c r="E43" i="21"/>
  <c r="E43" i="22" s="1"/>
  <c r="E43" i="23" s="1"/>
  <c r="E43" i="24" s="1"/>
  <c r="E43" i="25" s="1"/>
  <c r="E43" i="26" s="1"/>
  <c r="E43" i="27" s="1"/>
  <c r="E45" i="21"/>
  <c r="E46" i="21"/>
  <c r="E46" i="22" s="1"/>
  <c r="E46" i="23" s="1"/>
  <c r="E46" i="24" s="1"/>
  <c r="E46" i="25" s="1"/>
  <c r="E46" i="26" s="1"/>
  <c r="E46" i="27" s="1"/>
  <c r="E47" i="21"/>
  <c r="E47" i="22" s="1"/>
  <c r="E47" i="23" s="1"/>
  <c r="E47" i="24" s="1"/>
  <c r="E47" i="25" s="1"/>
  <c r="E47" i="26" s="1"/>
  <c r="E47" i="27" s="1"/>
  <c r="E48" i="21"/>
  <c r="E48" i="22" s="1"/>
  <c r="E48" i="23" s="1"/>
  <c r="E48" i="24" s="1"/>
  <c r="E48" i="25" s="1"/>
  <c r="E48" i="26" s="1"/>
  <c r="E48" i="27" s="1"/>
  <c r="E52" i="21"/>
  <c r="E53" i="21"/>
  <c r="E7" i="21"/>
  <c r="T8" i="19"/>
  <c r="O8" i="21" s="1"/>
  <c r="T8" i="21" s="1"/>
  <c r="O8" i="22" s="1"/>
  <c r="T8" i="22" s="1"/>
  <c r="T9" i="19"/>
  <c r="O9" i="21" s="1"/>
  <c r="T9" i="21" s="1"/>
  <c r="O9" i="22" s="1"/>
  <c r="T9" i="22" s="1"/>
  <c r="O9" i="23" s="1"/>
  <c r="T9" i="23" s="1"/>
  <c r="O9" i="24" s="1"/>
  <c r="T9" i="24" s="1"/>
  <c r="T10" i="19"/>
  <c r="O10" i="21" s="1"/>
  <c r="T10" i="21" s="1"/>
  <c r="O10" i="22" s="1"/>
  <c r="T10" i="22" s="1"/>
  <c r="O10" i="23" s="1"/>
  <c r="T10" i="23" s="1"/>
  <c r="T11" i="19"/>
  <c r="T12" i="19"/>
  <c r="O12" i="21" s="1"/>
  <c r="T13" i="19"/>
  <c r="O13" i="21" s="1"/>
  <c r="T13" i="21" s="1"/>
  <c r="O13" i="22" s="1"/>
  <c r="T13" i="22" s="1"/>
  <c r="O13" i="23" s="1"/>
  <c r="T13" i="23" s="1"/>
  <c r="O13" i="24" s="1"/>
  <c r="T13" i="24" s="1"/>
  <c r="O13" i="25" s="1"/>
  <c r="T13" i="25" s="1"/>
  <c r="O13" i="26" s="1"/>
  <c r="T13" i="26" s="1"/>
  <c r="O13" i="27" s="1"/>
  <c r="T13" i="27" s="1"/>
  <c r="T14" i="19"/>
  <c r="O14" i="21" s="1"/>
  <c r="T14" i="21" s="1"/>
  <c r="O14" i="22" s="1"/>
  <c r="T14" i="22" s="1"/>
  <c r="O14" i="23" s="1"/>
  <c r="T14" i="23" s="1"/>
  <c r="T15" i="19"/>
  <c r="T16" i="19"/>
  <c r="O16" i="21" s="1"/>
  <c r="T17" i="19"/>
  <c r="O17" i="21" s="1"/>
  <c r="T17" i="21" s="1"/>
  <c r="O17" i="22" s="1"/>
  <c r="T17" i="22" s="1"/>
  <c r="O17" i="23" s="1"/>
  <c r="T17" i="23" s="1"/>
  <c r="O17" i="24" s="1"/>
  <c r="T17" i="24" s="1"/>
  <c r="O17" i="25" s="1"/>
  <c r="T17" i="25" s="1"/>
  <c r="O17" i="26" s="1"/>
  <c r="T17" i="26" s="1"/>
  <c r="O17" i="27" s="1"/>
  <c r="T17" i="27" s="1"/>
  <c r="T18" i="19"/>
  <c r="O18" i="21" s="1"/>
  <c r="T18" i="21" s="1"/>
  <c r="T19" i="19"/>
  <c r="T20" i="19"/>
  <c r="O20" i="21" s="1"/>
  <c r="T21" i="19"/>
  <c r="O21" i="21" s="1"/>
  <c r="T21" i="21" s="1"/>
  <c r="O21" i="22" s="1"/>
  <c r="T21" i="22" s="1"/>
  <c r="O21" i="23" s="1"/>
  <c r="T21" i="23" s="1"/>
  <c r="O21" i="24" s="1"/>
  <c r="T21" i="24" s="1"/>
  <c r="O21" i="25" s="1"/>
  <c r="T21" i="25" s="1"/>
  <c r="O21" i="26" s="1"/>
  <c r="T21" i="26" s="1"/>
  <c r="O21" i="27" s="1"/>
  <c r="T21" i="27" s="1"/>
  <c r="T22" i="19"/>
  <c r="O22" i="21" s="1"/>
  <c r="T22" i="21" s="1"/>
  <c r="O22" i="22" s="1"/>
  <c r="T22" i="22" s="1"/>
  <c r="O22" i="23" s="1"/>
  <c r="T22" i="23" s="1"/>
  <c r="O22" i="24" s="1"/>
  <c r="T22" i="24" s="1"/>
  <c r="O22" i="25" s="1"/>
  <c r="T22" i="25" s="1"/>
  <c r="T23" i="19"/>
  <c r="O23" i="21" s="1"/>
  <c r="T23" i="21" s="1"/>
  <c r="O23" i="22" s="1"/>
  <c r="T23" i="22" s="1"/>
  <c r="O23" i="23" s="1"/>
  <c r="T23" i="23" s="1"/>
  <c r="O23" i="24" s="1"/>
  <c r="T23" i="24" s="1"/>
  <c r="O23" i="25" s="1"/>
  <c r="T23" i="25" s="1"/>
  <c r="O23" i="26" s="1"/>
  <c r="T23" i="26" s="1"/>
  <c r="O23" i="27" s="1"/>
  <c r="T23" i="27" s="1"/>
  <c r="T24" i="19"/>
  <c r="T25" i="19"/>
  <c r="T26" i="19"/>
  <c r="O26" i="21" s="1"/>
  <c r="T27" i="19"/>
  <c r="O27" i="21" s="1"/>
  <c r="T27" i="21" s="1"/>
  <c r="O27" i="22" s="1"/>
  <c r="T27" i="22" s="1"/>
  <c r="O27" i="23" s="1"/>
  <c r="T27" i="23" s="1"/>
  <c r="O27" i="24" s="1"/>
  <c r="T27" i="24" s="1"/>
  <c r="T28" i="19"/>
  <c r="T29" i="19"/>
  <c r="O29" i="21" s="1"/>
  <c r="T30" i="19"/>
  <c r="O30" i="21" s="1"/>
  <c r="T30" i="21" s="1"/>
  <c r="O30" i="22" s="1"/>
  <c r="T30" i="22" s="1"/>
  <c r="O30" i="23" s="1"/>
  <c r="T30" i="23" s="1"/>
  <c r="O30" i="24" s="1"/>
  <c r="T30" i="24" s="1"/>
  <c r="O30" i="25" s="1"/>
  <c r="T30" i="25" s="1"/>
  <c r="O30" i="26" s="1"/>
  <c r="T30" i="26" s="1"/>
  <c r="O30" i="27" s="1"/>
  <c r="T30" i="27" s="1"/>
  <c r="T31" i="19"/>
  <c r="O31" i="21" s="1"/>
  <c r="T31" i="21" s="1"/>
  <c r="O31" i="22" s="1"/>
  <c r="T31" i="22" s="1"/>
  <c r="O31" i="23" s="1"/>
  <c r="T31" i="23" s="1"/>
  <c r="O31" i="24" s="1"/>
  <c r="T31" i="24" s="1"/>
  <c r="O31" i="25" s="1"/>
  <c r="T31" i="25" s="1"/>
  <c r="O31" i="26" s="1"/>
  <c r="T31" i="26" s="1"/>
  <c r="O31" i="27" s="1"/>
  <c r="T31" i="27" s="1"/>
  <c r="T32" i="19"/>
  <c r="O32" i="21" s="1"/>
  <c r="T32" i="21" s="1"/>
  <c r="O32" i="22" s="1"/>
  <c r="T32" i="22" s="1"/>
  <c r="O32" i="23" s="1"/>
  <c r="T32" i="23" s="1"/>
  <c r="O32" i="24" s="1"/>
  <c r="T32" i="24" s="1"/>
  <c r="T33" i="19"/>
  <c r="T34" i="19"/>
  <c r="O34" i="21" s="1"/>
  <c r="T35" i="19"/>
  <c r="O35" i="21" s="1"/>
  <c r="T35" i="21" s="1"/>
  <c r="O35" i="22" s="1"/>
  <c r="T35" i="22" s="1"/>
  <c r="O35" i="23" s="1"/>
  <c r="T35" i="23" s="1"/>
  <c r="O35" i="24" s="1"/>
  <c r="T35" i="24" s="1"/>
  <c r="O35" i="25" s="1"/>
  <c r="T35" i="25" s="1"/>
  <c r="O35" i="26" s="1"/>
  <c r="T35" i="26" s="1"/>
  <c r="T36" i="19"/>
  <c r="O36" i="21" s="1"/>
  <c r="T36" i="21" s="1"/>
  <c r="O36" i="22" s="1"/>
  <c r="T36" i="22" s="1"/>
  <c r="O36" i="23" s="1"/>
  <c r="T36" i="23" s="1"/>
  <c r="O36" i="24" s="1"/>
  <c r="T36" i="24" s="1"/>
  <c r="O36" i="25" s="1"/>
  <c r="T36" i="25" s="1"/>
  <c r="O36" i="26" s="1"/>
  <c r="T36" i="26" s="1"/>
  <c r="O36" i="27" s="1"/>
  <c r="T36" i="27" s="1"/>
  <c r="T37" i="19"/>
  <c r="O37" i="21" s="1"/>
  <c r="T37" i="21" s="1"/>
  <c r="O37" i="22" s="1"/>
  <c r="T37" i="22" s="1"/>
  <c r="O37" i="23" s="1"/>
  <c r="T37" i="23" s="1"/>
  <c r="O37" i="24" s="1"/>
  <c r="T37" i="24" s="1"/>
  <c r="O37" i="25" s="1"/>
  <c r="T37" i="25" s="1"/>
  <c r="O37" i="26" s="1"/>
  <c r="T37" i="26" s="1"/>
  <c r="O37" i="27" s="1"/>
  <c r="T37" i="27" s="1"/>
  <c r="T38" i="19"/>
  <c r="T39" i="19"/>
  <c r="T40" i="19"/>
  <c r="O40" i="21" s="1"/>
  <c r="T41" i="19"/>
  <c r="O41" i="21" s="1"/>
  <c r="T41" i="21" s="1"/>
  <c r="O41" i="22" s="1"/>
  <c r="T41" i="22" s="1"/>
  <c r="O41" i="23" s="1"/>
  <c r="T41" i="23" s="1"/>
  <c r="O41" i="24" s="1"/>
  <c r="T41" i="24" s="1"/>
  <c r="O41" i="25" s="1"/>
  <c r="T41" i="25" s="1"/>
  <c r="O41" i="26" s="1"/>
  <c r="T41" i="26" s="1"/>
  <c r="O41" i="27" s="1"/>
  <c r="T41" i="27" s="1"/>
  <c r="T42" i="19"/>
  <c r="O42" i="21" s="1"/>
  <c r="T42" i="21" s="1"/>
  <c r="O42" i="22" s="1"/>
  <c r="T42" i="22" s="1"/>
  <c r="O42" i="23" s="1"/>
  <c r="T42" i="23" s="1"/>
  <c r="O42" i="24" s="1"/>
  <c r="T42" i="24" s="1"/>
  <c r="O42" i="25" s="1"/>
  <c r="T42" i="25" s="1"/>
  <c r="O42" i="26" s="1"/>
  <c r="T42" i="26" s="1"/>
  <c r="O42" i="27" s="1"/>
  <c r="T42" i="27" s="1"/>
  <c r="T43" i="19"/>
  <c r="O43" i="21" s="1"/>
  <c r="T43" i="21" s="1"/>
  <c r="O43" i="22" s="1"/>
  <c r="T43" i="22" s="1"/>
  <c r="O43" i="23" s="1"/>
  <c r="T43" i="23" s="1"/>
  <c r="O43" i="24" s="1"/>
  <c r="T43" i="24" s="1"/>
  <c r="O43" i="25" s="1"/>
  <c r="T43" i="25" s="1"/>
  <c r="O43" i="26" s="1"/>
  <c r="T43" i="26" s="1"/>
  <c r="O43" i="27" s="1"/>
  <c r="T43" i="27" s="1"/>
  <c r="T44" i="19"/>
  <c r="T45" i="19"/>
  <c r="O45" i="21" s="1"/>
  <c r="T46" i="19"/>
  <c r="O46" i="21" s="1"/>
  <c r="T46" i="21" s="1"/>
  <c r="O46" i="22" s="1"/>
  <c r="T46" i="22" s="1"/>
  <c r="O46" i="23" s="1"/>
  <c r="T46" i="23" s="1"/>
  <c r="O46" i="24" s="1"/>
  <c r="T46" i="24" s="1"/>
  <c r="O46" i="25" s="1"/>
  <c r="T46" i="25" s="1"/>
  <c r="O46" i="26" s="1"/>
  <c r="T46" i="26" s="1"/>
  <c r="O46" i="27" s="1"/>
  <c r="T46" i="27" s="1"/>
  <c r="T47" i="19"/>
  <c r="O47" i="21" s="1"/>
  <c r="T47" i="21" s="1"/>
  <c r="O47" i="22" s="1"/>
  <c r="T47" i="22" s="1"/>
  <c r="O47" i="23" s="1"/>
  <c r="T47" i="23" s="1"/>
  <c r="O47" i="24" s="1"/>
  <c r="T47" i="24" s="1"/>
  <c r="O47" i="25" s="1"/>
  <c r="T47" i="25" s="1"/>
  <c r="O47" i="26" s="1"/>
  <c r="T47" i="26" s="1"/>
  <c r="O47" i="27" s="1"/>
  <c r="T47" i="27" s="1"/>
  <c r="T48" i="19"/>
  <c r="O48" i="21" s="1"/>
  <c r="T48" i="21" s="1"/>
  <c r="O48" i="22" s="1"/>
  <c r="T48" i="22" s="1"/>
  <c r="O48" i="23" s="1"/>
  <c r="T48" i="23" s="1"/>
  <c r="O48" i="24" s="1"/>
  <c r="T48" i="24" s="1"/>
  <c r="O48" i="25" s="1"/>
  <c r="T48" i="25" s="1"/>
  <c r="O48" i="26" s="1"/>
  <c r="T48" i="26" s="1"/>
  <c r="O48" i="27" s="1"/>
  <c r="T48" i="27" s="1"/>
  <c r="T49" i="19"/>
  <c r="T50" i="19"/>
  <c r="T51" i="19"/>
  <c r="T7" i="19"/>
  <c r="O7" i="21" s="1"/>
  <c r="N8" i="19"/>
  <c r="I8" i="21" s="1"/>
  <c r="N8" i="21" s="1"/>
  <c r="I8" i="22" s="1"/>
  <c r="N8" i="22" s="1"/>
  <c r="I8" i="23" s="1"/>
  <c r="N8" i="23" s="1"/>
  <c r="I8" i="24" s="1"/>
  <c r="N8" i="24" s="1"/>
  <c r="N9" i="19"/>
  <c r="I9" i="21" s="1"/>
  <c r="N9" i="21" s="1"/>
  <c r="I9" i="22" s="1"/>
  <c r="N9" i="22" s="1"/>
  <c r="N10" i="19"/>
  <c r="U10" i="19" s="1"/>
  <c r="N11" i="19"/>
  <c r="N12" i="19"/>
  <c r="I12" i="21" s="1"/>
  <c r="N13" i="19"/>
  <c r="I13" i="21" s="1"/>
  <c r="N13" i="21" s="1"/>
  <c r="I13" i="22" s="1"/>
  <c r="N13" i="22" s="1"/>
  <c r="I13" i="23" s="1"/>
  <c r="N13" i="23" s="1"/>
  <c r="I13" i="24" s="1"/>
  <c r="N13" i="24" s="1"/>
  <c r="I13" i="25" s="1"/>
  <c r="N13" i="25" s="1"/>
  <c r="I13" i="26" s="1"/>
  <c r="N13" i="26" s="1"/>
  <c r="I13" i="27" s="1"/>
  <c r="N13" i="27" s="1"/>
  <c r="N14" i="19"/>
  <c r="I14" i="21" s="1"/>
  <c r="N14" i="21" s="1"/>
  <c r="I14" i="22" s="1"/>
  <c r="N14" i="22" s="1"/>
  <c r="I14" i="23" s="1"/>
  <c r="N14" i="23" s="1"/>
  <c r="I14" i="24" s="1"/>
  <c r="N14" i="24" s="1"/>
  <c r="N15" i="19"/>
  <c r="N16" i="19"/>
  <c r="I16" i="21" s="1"/>
  <c r="N17" i="19"/>
  <c r="I17" i="21" s="1"/>
  <c r="N17" i="21" s="1"/>
  <c r="I17" i="22" s="1"/>
  <c r="N17" i="22" s="1"/>
  <c r="I17" i="23" s="1"/>
  <c r="N17" i="23" s="1"/>
  <c r="I17" i="24" s="1"/>
  <c r="N17" i="24" s="1"/>
  <c r="I17" i="25" s="1"/>
  <c r="N17" i="25" s="1"/>
  <c r="I17" i="26" s="1"/>
  <c r="N17" i="26" s="1"/>
  <c r="I17" i="27" s="1"/>
  <c r="N17" i="27" s="1"/>
  <c r="N18" i="19"/>
  <c r="I18" i="21" s="1"/>
  <c r="N18" i="21" s="1"/>
  <c r="I18" i="22" s="1"/>
  <c r="N18" i="22" s="1"/>
  <c r="I18" i="23" s="1"/>
  <c r="N18" i="23" s="1"/>
  <c r="I18" i="24" s="1"/>
  <c r="N18" i="24" s="1"/>
  <c r="I18" i="25" s="1"/>
  <c r="N18" i="25" s="1"/>
  <c r="I18" i="26" s="1"/>
  <c r="N18" i="26" s="1"/>
  <c r="I18" i="27" s="1"/>
  <c r="N18" i="27" s="1"/>
  <c r="N19" i="19"/>
  <c r="N20" i="19"/>
  <c r="I20" i="21" s="1"/>
  <c r="N21" i="19"/>
  <c r="I21" i="21" s="1"/>
  <c r="N21" i="21" s="1"/>
  <c r="I21" i="22" s="1"/>
  <c r="N21" i="22" s="1"/>
  <c r="I21" i="23" s="1"/>
  <c r="N21" i="23" s="1"/>
  <c r="I21" i="24" s="1"/>
  <c r="N21" i="24" s="1"/>
  <c r="I21" i="25" s="1"/>
  <c r="N21" i="25" s="1"/>
  <c r="I21" i="26" s="1"/>
  <c r="N21" i="26" s="1"/>
  <c r="I21" i="27" s="1"/>
  <c r="N21" i="27" s="1"/>
  <c r="N22" i="19"/>
  <c r="I22" i="21" s="1"/>
  <c r="N22" i="21" s="1"/>
  <c r="I22" i="22" s="1"/>
  <c r="N22" i="22" s="1"/>
  <c r="I22" i="23" s="1"/>
  <c r="N22" i="23" s="1"/>
  <c r="I22" i="24" s="1"/>
  <c r="N22" i="24" s="1"/>
  <c r="I22" i="25" s="1"/>
  <c r="N22" i="25" s="1"/>
  <c r="I22" i="26" s="1"/>
  <c r="N22" i="26" s="1"/>
  <c r="I22" i="27" s="1"/>
  <c r="N22" i="27" s="1"/>
  <c r="N23" i="19"/>
  <c r="I23" i="21" s="1"/>
  <c r="N23" i="21" s="1"/>
  <c r="I23" i="22" s="1"/>
  <c r="N23" i="22" s="1"/>
  <c r="I23" i="23" s="1"/>
  <c r="N23" i="23" s="1"/>
  <c r="I23" i="24" s="1"/>
  <c r="N23" i="24" s="1"/>
  <c r="I23" i="25" s="1"/>
  <c r="N23" i="25" s="1"/>
  <c r="I23" i="26" s="1"/>
  <c r="N23" i="26" s="1"/>
  <c r="I23" i="27" s="1"/>
  <c r="N23" i="27" s="1"/>
  <c r="N24" i="19"/>
  <c r="N25" i="19"/>
  <c r="N26" i="19"/>
  <c r="I26" i="21" s="1"/>
  <c r="N27" i="19"/>
  <c r="I27" i="21" s="1"/>
  <c r="N27" i="21" s="1"/>
  <c r="I27" i="22" s="1"/>
  <c r="N27" i="22" s="1"/>
  <c r="I27" i="23" s="1"/>
  <c r="N27" i="23" s="1"/>
  <c r="N28" i="19"/>
  <c r="N29" i="19"/>
  <c r="I29" i="21" s="1"/>
  <c r="N30" i="19"/>
  <c r="I30" i="21" s="1"/>
  <c r="N30" i="21" s="1"/>
  <c r="I30" i="22" s="1"/>
  <c r="N30" i="22" s="1"/>
  <c r="I30" i="23" s="1"/>
  <c r="N30" i="23" s="1"/>
  <c r="I30" i="24" s="1"/>
  <c r="N30" i="24" s="1"/>
  <c r="N31" i="19"/>
  <c r="I31" i="21" s="1"/>
  <c r="N31" i="21" s="1"/>
  <c r="I31" i="22" s="1"/>
  <c r="N31" i="22" s="1"/>
  <c r="I31" i="23" s="1"/>
  <c r="N31" i="23" s="1"/>
  <c r="N32" i="19"/>
  <c r="I32" i="21" s="1"/>
  <c r="N32" i="21" s="1"/>
  <c r="I32" i="22" s="1"/>
  <c r="N32" i="22" s="1"/>
  <c r="I32" i="23" s="1"/>
  <c r="N32" i="23" s="1"/>
  <c r="I32" i="24" s="1"/>
  <c r="N32" i="24" s="1"/>
  <c r="I32" i="25" s="1"/>
  <c r="N32" i="25" s="1"/>
  <c r="N33" i="19"/>
  <c r="N34" i="19"/>
  <c r="I34" i="21" s="1"/>
  <c r="N35" i="19"/>
  <c r="I35" i="21" s="1"/>
  <c r="N35" i="21" s="1"/>
  <c r="I35" i="22" s="1"/>
  <c r="N35" i="22" s="1"/>
  <c r="I35" i="23" s="1"/>
  <c r="N35" i="23" s="1"/>
  <c r="I35" i="24" s="1"/>
  <c r="N35" i="24" s="1"/>
  <c r="I35" i="25" s="1"/>
  <c r="N35" i="25" s="1"/>
  <c r="I35" i="26" s="1"/>
  <c r="N35" i="26" s="1"/>
  <c r="I35" i="27" s="1"/>
  <c r="N35" i="27" s="1"/>
  <c r="N36" i="19"/>
  <c r="I36" i="21" s="1"/>
  <c r="N36" i="21" s="1"/>
  <c r="I36" i="22" s="1"/>
  <c r="N36" i="22" s="1"/>
  <c r="I36" i="23" s="1"/>
  <c r="N36" i="23" s="1"/>
  <c r="I36" i="24" s="1"/>
  <c r="N36" i="24" s="1"/>
  <c r="I36" i="25" s="1"/>
  <c r="N36" i="25" s="1"/>
  <c r="I36" i="26" s="1"/>
  <c r="N36" i="26" s="1"/>
  <c r="I36" i="27" s="1"/>
  <c r="N36" i="27" s="1"/>
  <c r="N37" i="19"/>
  <c r="I37" i="21" s="1"/>
  <c r="N37" i="21" s="1"/>
  <c r="I37" i="22" s="1"/>
  <c r="N37" i="22" s="1"/>
  <c r="I37" i="23" s="1"/>
  <c r="N37" i="23" s="1"/>
  <c r="I37" i="24" s="1"/>
  <c r="N37" i="24" s="1"/>
  <c r="I37" i="25" s="1"/>
  <c r="N37" i="25" s="1"/>
  <c r="I37" i="26" s="1"/>
  <c r="N37" i="26" s="1"/>
  <c r="I37" i="27" s="1"/>
  <c r="N37" i="27" s="1"/>
  <c r="N38" i="19"/>
  <c r="N39" i="19"/>
  <c r="N40" i="19"/>
  <c r="I40" i="21" s="1"/>
  <c r="N41" i="19"/>
  <c r="I41" i="21" s="1"/>
  <c r="N41" i="21" s="1"/>
  <c r="I41" i="22" s="1"/>
  <c r="N41" i="22" s="1"/>
  <c r="I41" i="23" s="1"/>
  <c r="N41" i="23" s="1"/>
  <c r="I41" i="24" s="1"/>
  <c r="N41" i="24" s="1"/>
  <c r="I41" i="25" s="1"/>
  <c r="N41" i="25" s="1"/>
  <c r="I41" i="26" s="1"/>
  <c r="N41" i="26" s="1"/>
  <c r="I41" i="27" s="1"/>
  <c r="N41" i="27" s="1"/>
  <c r="N42" i="19"/>
  <c r="I42" i="21" s="1"/>
  <c r="N42" i="21" s="1"/>
  <c r="I42" i="22" s="1"/>
  <c r="N42" i="22" s="1"/>
  <c r="I42" i="23" s="1"/>
  <c r="N42" i="23" s="1"/>
  <c r="I42" i="24" s="1"/>
  <c r="N42" i="24" s="1"/>
  <c r="I42" i="25" s="1"/>
  <c r="N42" i="25" s="1"/>
  <c r="N43" i="19"/>
  <c r="I43" i="21" s="1"/>
  <c r="N43" i="21" s="1"/>
  <c r="I43" i="22" s="1"/>
  <c r="N43" i="22" s="1"/>
  <c r="I43" i="23" s="1"/>
  <c r="N43" i="23" s="1"/>
  <c r="I43" i="24" s="1"/>
  <c r="N43" i="24" s="1"/>
  <c r="I43" i="25" s="1"/>
  <c r="N43" i="25" s="1"/>
  <c r="I43" i="26" s="1"/>
  <c r="N43" i="26" s="1"/>
  <c r="I43" i="27" s="1"/>
  <c r="N43" i="27" s="1"/>
  <c r="N44" i="19"/>
  <c r="N45" i="19"/>
  <c r="I45" i="21" s="1"/>
  <c r="N46" i="19"/>
  <c r="I46" i="21" s="1"/>
  <c r="N46" i="21" s="1"/>
  <c r="I46" i="22" s="1"/>
  <c r="N46" i="22" s="1"/>
  <c r="I46" i="23" s="1"/>
  <c r="N46" i="23" s="1"/>
  <c r="I46" i="24" s="1"/>
  <c r="N46" i="24" s="1"/>
  <c r="I46" i="25" s="1"/>
  <c r="N46" i="25" s="1"/>
  <c r="I46" i="26" s="1"/>
  <c r="N46" i="26" s="1"/>
  <c r="I46" i="27" s="1"/>
  <c r="N46" i="27" s="1"/>
  <c r="N47" i="19"/>
  <c r="I47" i="21" s="1"/>
  <c r="N47" i="21" s="1"/>
  <c r="I47" i="22" s="1"/>
  <c r="N47" i="22" s="1"/>
  <c r="I47" i="23" s="1"/>
  <c r="N47" i="23" s="1"/>
  <c r="I47" i="24" s="1"/>
  <c r="N47" i="24" s="1"/>
  <c r="I47" i="25" s="1"/>
  <c r="N47" i="25" s="1"/>
  <c r="I47" i="26" s="1"/>
  <c r="N47" i="26" s="1"/>
  <c r="I47" i="27" s="1"/>
  <c r="N47" i="27" s="1"/>
  <c r="N48" i="19"/>
  <c r="I48" i="21" s="1"/>
  <c r="N48" i="21" s="1"/>
  <c r="I48" i="22" s="1"/>
  <c r="N48" i="22" s="1"/>
  <c r="I48" i="23" s="1"/>
  <c r="N48" i="23" s="1"/>
  <c r="I48" i="24" s="1"/>
  <c r="N48" i="24" s="1"/>
  <c r="I48" i="25" s="1"/>
  <c r="N48" i="25" s="1"/>
  <c r="I48" i="26" s="1"/>
  <c r="N48" i="26" s="1"/>
  <c r="I48" i="27" s="1"/>
  <c r="N48" i="27" s="1"/>
  <c r="N49" i="19"/>
  <c r="N50" i="19"/>
  <c r="N51" i="19"/>
  <c r="N7" i="19"/>
  <c r="I7" i="21" s="1"/>
  <c r="H8" i="19"/>
  <c r="C8" i="21" s="1"/>
  <c r="H8" i="21" s="1"/>
  <c r="C8" i="22" s="1"/>
  <c r="H8" i="22" s="1"/>
  <c r="C8" i="23" s="1"/>
  <c r="H8" i="23" s="1"/>
  <c r="H9" i="19"/>
  <c r="C9" i="21" s="1"/>
  <c r="H9" i="21" s="1"/>
  <c r="C9" i="22" s="1"/>
  <c r="H9" i="22" s="1"/>
  <c r="H10" i="19"/>
  <c r="C10" i="21" s="1"/>
  <c r="H10" i="21" s="1"/>
  <c r="C10" i="22" s="1"/>
  <c r="H10" i="22" s="1"/>
  <c r="H11" i="19"/>
  <c r="U11" i="19" s="1"/>
  <c r="H12" i="19"/>
  <c r="U12" i="19" s="1"/>
  <c r="H13" i="19"/>
  <c r="C13" i="21" s="1"/>
  <c r="H13" i="21" s="1"/>
  <c r="C13" i="22" s="1"/>
  <c r="H13" i="22" s="1"/>
  <c r="H14" i="19"/>
  <c r="U14" i="19" s="1"/>
  <c r="H15" i="19"/>
  <c r="U15" i="19" s="1"/>
  <c r="H16" i="19"/>
  <c r="C16" i="21" s="1"/>
  <c r="H17" i="19"/>
  <c r="U17" i="19" s="1"/>
  <c r="H18" i="19"/>
  <c r="C18" i="21" s="1"/>
  <c r="H18" i="21" s="1"/>
  <c r="C18" i="22" s="1"/>
  <c r="H18" i="22" s="1"/>
  <c r="H19" i="19"/>
  <c r="U19" i="19" s="1"/>
  <c r="H20" i="19"/>
  <c r="U20" i="19" s="1"/>
  <c r="H21" i="19"/>
  <c r="C21" i="21" s="1"/>
  <c r="H21" i="21" s="1"/>
  <c r="C21" i="22" s="1"/>
  <c r="H21" i="22" s="1"/>
  <c r="H22" i="19"/>
  <c r="U22" i="19" s="1"/>
  <c r="H23" i="19"/>
  <c r="C23" i="21" s="1"/>
  <c r="H23" i="21" s="1"/>
  <c r="C23" i="22" s="1"/>
  <c r="H23" i="22" s="1"/>
  <c r="H24" i="19"/>
  <c r="U24" i="19" s="1"/>
  <c r="H25" i="19"/>
  <c r="U25" i="19" s="1"/>
  <c r="H26" i="19"/>
  <c r="U26" i="19" s="1"/>
  <c r="H27" i="19"/>
  <c r="C27" i="21" s="1"/>
  <c r="H27" i="21" s="1"/>
  <c r="C27" i="22" s="1"/>
  <c r="H27" i="22" s="1"/>
  <c r="H28" i="19"/>
  <c r="U28" i="19" s="1"/>
  <c r="H29" i="19"/>
  <c r="U29" i="19" s="1"/>
  <c r="H30" i="19"/>
  <c r="C30" i="21" s="1"/>
  <c r="H30" i="21" s="1"/>
  <c r="C30" i="22" s="1"/>
  <c r="H30" i="22" s="1"/>
  <c r="H31" i="19"/>
  <c r="U31" i="19" s="1"/>
  <c r="H32" i="19"/>
  <c r="C32" i="21" s="1"/>
  <c r="H32" i="21" s="1"/>
  <c r="C32" i="22" s="1"/>
  <c r="H32" i="22" s="1"/>
  <c r="H33" i="19"/>
  <c r="U33" i="19" s="1"/>
  <c r="H34" i="19"/>
  <c r="U34" i="19" s="1"/>
  <c r="H35" i="19"/>
  <c r="C35" i="21" s="1"/>
  <c r="H35" i="21" s="1"/>
  <c r="C35" i="22" s="1"/>
  <c r="H35" i="22" s="1"/>
  <c r="H36" i="19"/>
  <c r="U36" i="19" s="1"/>
  <c r="H37" i="19"/>
  <c r="C37" i="21" s="1"/>
  <c r="H37" i="21" s="1"/>
  <c r="C37" i="22" s="1"/>
  <c r="H37" i="22" s="1"/>
  <c r="H38" i="19"/>
  <c r="U38" i="19" s="1"/>
  <c r="H39" i="19"/>
  <c r="U39" i="19" s="1"/>
  <c r="H40" i="19"/>
  <c r="U40" i="19" s="1"/>
  <c r="H41" i="19"/>
  <c r="C41" i="21" s="1"/>
  <c r="H41" i="21" s="1"/>
  <c r="C41" i="22" s="1"/>
  <c r="H41" i="22" s="1"/>
  <c r="H42" i="19"/>
  <c r="U42" i="19" s="1"/>
  <c r="H43" i="19"/>
  <c r="C43" i="21" s="1"/>
  <c r="H43" i="21" s="1"/>
  <c r="C43" i="22" s="1"/>
  <c r="H43" i="22" s="1"/>
  <c r="H44" i="19"/>
  <c r="U44" i="19" s="1"/>
  <c r="H45" i="19"/>
  <c r="C45" i="21" s="1"/>
  <c r="H46" i="19"/>
  <c r="C46" i="21" s="1"/>
  <c r="H46" i="21" s="1"/>
  <c r="C46" i="22" s="1"/>
  <c r="H46" i="22" s="1"/>
  <c r="H47" i="19"/>
  <c r="U47" i="19" s="1"/>
  <c r="H48" i="19"/>
  <c r="C48" i="21" s="1"/>
  <c r="H48" i="21" s="1"/>
  <c r="C48" i="22" s="1"/>
  <c r="H48" i="22" s="1"/>
  <c r="H49" i="19"/>
  <c r="U49" i="19" s="1"/>
  <c r="H50" i="19"/>
  <c r="U50" i="19" s="1"/>
  <c r="H51" i="19"/>
  <c r="U51" i="19" s="1"/>
  <c r="H7" i="19"/>
  <c r="C7" i="21" s="1"/>
  <c r="H45" i="21" l="1"/>
  <c r="C43" i="23"/>
  <c r="H43" i="23" s="1"/>
  <c r="U43" i="22"/>
  <c r="C41" i="23"/>
  <c r="H41" i="23" s="1"/>
  <c r="U41" i="22"/>
  <c r="C37" i="23"/>
  <c r="H37" i="23" s="1"/>
  <c r="U37" i="22"/>
  <c r="C35" i="23"/>
  <c r="H35" i="23" s="1"/>
  <c r="U35" i="22"/>
  <c r="C27" i="23"/>
  <c r="H27" i="23" s="1"/>
  <c r="U27" i="22"/>
  <c r="C23" i="23"/>
  <c r="H23" i="23" s="1"/>
  <c r="U23" i="22"/>
  <c r="C21" i="23"/>
  <c r="H21" i="23" s="1"/>
  <c r="U21" i="22"/>
  <c r="C13" i="23"/>
  <c r="H13" i="23" s="1"/>
  <c r="U13" i="22"/>
  <c r="C9" i="23"/>
  <c r="H9" i="23" s="1"/>
  <c r="U9" i="22"/>
  <c r="I42" i="26"/>
  <c r="N42" i="26" s="1"/>
  <c r="I42" i="27" s="1"/>
  <c r="N42" i="27" s="1"/>
  <c r="I44" i="21"/>
  <c r="N40" i="21"/>
  <c r="I38" i="21"/>
  <c r="N34" i="21"/>
  <c r="I32" i="26"/>
  <c r="N32" i="26" s="1"/>
  <c r="I32" i="27" s="1"/>
  <c r="N32" i="27" s="1"/>
  <c r="I30" i="25"/>
  <c r="N30" i="25" s="1"/>
  <c r="I30" i="26" s="1"/>
  <c r="N30" i="26" s="1"/>
  <c r="I30" i="27" s="1"/>
  <c r="N30" i="27" s="1"/>
  <c r="I28" i="21"/>
  <c r="N26" i="21"/>
  <c r="I24" i="21"/>
  <c r="N20" i="21"/>
  <c r="I19" i="21"/>
  <c r="N16" i="21"/>
  <c r="I14" i="25"/>
  <c r="N14" i="25" s="1"/>
  <c r="I14" i="26" s="1"/>
  <c r="N14" i="26" s="1"/>
  <c r="I14" i="27" s="1"/>
  <c r="N14" i="27" s="1"/>
  <c r="I15" i="21"/>
  <c r="N12" i="21"/>
  <c r="O49" i="21"/>
  <c r="T45" i="21"/>
  <c r="O35" i="27"/>
  <c r="T35" i="27" s="1"/>
  <c r="O33" i="21"/>
  <c r="T29" i="21"/>
  <c r="O27" i="25"/>
  <c r="T27" i="25" s="1"/>
  <c r="O27" i="26" s="1"/>
  <c r="T27" i="26" s="1"/>
  <c r="O27" i="27" s="1"/>
  <c r="T27" i="27" s="1"/>
  <c r="O9" i="25"/>
  <c r="T9" i="25" s="1"/>
  <c r="O9" i="26" s="1"/>
  <c r="T9" i="26" s="1"/>
  <c r="C11" i="21"/>
  <c r="H7" i="21"/>
  <c r="C48" i="23"/>
  <c r="H48" i="23" s="1"/>
  <c r="U48" i="22"/>
  <c r="C46" i="23"/>
  <c r="H46" i="23" s="1"/>
  <c r="U46" i="22"/>
  <c r="C32" i="23"/>
  <c r="H32" i="23" s="1"/>
  <c r="U32" i="22"/>
  <c r="C30" i="23"/>
  <c r="H30" i="23" s="1"/>
  <c r="U30" i="22"/>
  <c r="C18" i="23"/>
  <c r="H18" i="23" s="1"/>
  <c r="H16" i="21"/>
  <c r="C10" i="23"/>
  <c r="H10" i="23" s="1"/>
  <c r="C8" i="24"/>
  <c r="H8" i="24" s="1"/>
  <c r="C8" i="25" s="1"/>
  <c r="H8" i="25" s="1"/>
  <c r="I49" i="21"/>
  <c r="I50" i="21" s="1"/>
  <c r="N45" i="21"/>
  <c r="I31" i="24"/>
  <c r="N31" i="24" s="1"/>
  <c r="I31" i="25" s="1"/>
  <c r="N31" i="25" s="1"/>
  <c r="I31" i="26" s="1"/>
  <c r="N31" i="26" s="1"/>
  <c r="I31" i="27" s="1"/>
  <c r="N31" i="27" s="1"/>
  <c r="I33" i="21"/>
  <c r="N29" i="21"/>
  <c r="I27" i="24"/>
  <c r="N27" i="24" s="1"/>
  <c r="I27" i="25" s="1"/>
  <c r="N27" i="25" s="1"/>
  <c r="I27" i="26" s="1"/>
  <c r="N27" i="26" s="1"/>
  <c r="I27" i="27" s="1"/>
  <c r="N27" i="27" s="1"/>
  <c r="O11" i="21"/>
  <c r="T7" i="21"/>
  <c r="O44" i="21"/>
  <c r="T40" i="21"/>
  <c r="O38" i="21"/>
  <c r="T34" i="21"/>
  <c r="O32" i="25"/>
  <c r="T32" i="25" s="1"/>
  <c r="O32" i="26" s="1"/>
  <c r="T32" i="26" s="1"/>
  <c r="O32" i="27" s="1"/>
  <c r="T32" i="27" s="1"/>
  <c r="O28" i="21"/>
  <c r="T26" i="21"/>
  <c r="O22" i="26"/>
  <c r="T22" i="26" s="1"/>
  <c r="O24" i="21"/>
  <c r="T20" i="21"/>
  <c r="O18" i="22"/>
  <c r="T18" i="22" s="1"/>
  <c r="O18" i="23" s="1"/>
  <c r="T18" i="23" s="1"/>
  <c r="O18" i="24" s="1"/>
  <c r="T18" i="24" s="1"/>
  <c r="O18" i="25" s="1"/>
  <c r="T18" i="25" s="1"/>
  <c r="O18" i="26" s="1"/>
  <c r="T18" i="26" s="1"/>
  <c r="O18" i="27" s="1"/>
  <c r="T18" i="27" s="1"/>
  <c r="O19" i="21"/>
  <c r="T16" i="21"/>
  <c r="O16" i="22" s="1"/>
  <c r="O14" i="24"/>
  <c r="T14" i="24" s="1"/>
  <c r="O14" i="25" s="1"/>
  <c r="T14" i="25" s="1"/>
  <c r="O14" i="26" s="1"/>
  <c r="T14" i="26" s="1"/>
  <c r="O14" i="27" s="1"/>
  <c r="T14" i="27" s="1"/>
  <c r="O15" i="21"/>
  <c r="T12" i="21"/>
  <c r="O10" i="24"/>
  <c r="T10" i="24" s="1"/>
  <c r="O10" i="25" s="1"/>
  <c r="T10" i="25" s="1"/>
  <c r="O10" i="26" s="1"/>
  <c r="T10" i="26" s="1"/>
  <c r="O10" i="27" s="1"/>
  <c r="T10" i="27" s="1"/>
  <c r="U8" i="22"/>
  <c r="O8" i="23"/>
  <c r="T8" i="23" s="1"/>
  <c r="O8" i="24" s="1"/>
  <c r="T8" i="24" s="1"/>
  <c r="O8" i="25" s="1"/>
  <c r="T8" i="25" s="1"/>
  <c r="O8" i="26" s="1"/>
  <c r="T8" i="26" s="1"/>
  <c r="O8" i="27" s="1"/>
  <c r="T8" i="27" s="1"/>
  <c r="N7" i="21"/>
  <c r="U45" i="19"/>
  <c r="U35" i="19"/>
  <c r="U13" i="19"/>
  <c r="E23" i="24"/>
  <c r="E16" i="22"/>
  <c r="E19" i="21"/>
  <c r="E8" i="24"/>
  <c r="G16" i="22"/>
  <c r="G19" i="21"/>
  <c r="K32" i="23"/>
  <c r="K32" i="24" s="1"/>
  <c r="K32" i="25" s="1"/>
  <c r="K32" i="26" s="1"/>
  <c r="K32" i="27" s="1"/>
  <c r="K27" i="24"/>
  <c r="K27" i="25" s="1"/>
  <c r="K27" i="26" s="1"/>
  <c r="K27" i="27" s="1"/>
  <c r="K16" i="22"/>
  <c r="K19" i="21"/>
  <c r="M16" i="22"/>
  <c r="M19" i="21"/>
  <c r="M13" i="25"/>
  <c r="M13" i="26" s="1"/>
  <c r="M13" i="27" s="1"/>
  <c r="Q35" i="27"/>
  <c r="Q32" i="25"/>
  <c r="Q32" i="26" s="1"/>
  <c r="Q32" i="27" s="1"/>
  <c r="Q27" i="25"/>
  <c r="Q27" i="26" s="1"/>
  <c r="Q27" i="27" s="1"/>
  <c r="Q16" i="23"/>
  <c r="Q19" i="22"/>
  <c r="Q12" i="22"/>
  <c r="Q15" i="21"/>
  <c r="Q9" i="25"/>
  <c r="Q9" i="26" s="1"/>
  <c r="Q9" i="27" s="1"/>
  <c r="S7" i="22"/>
  <c r="S11" i="21"/>
  <c r="S45" i="22"/>
  <c r="S49" i="21"/>
  <c r="S40" i="22"/>
  <c r="S44" i="21"/>
  <c r="S34" i="22"/>
  <c r="S38" i="21"/>
  <c r="S29" i="22"/>
  <c r="S33" i="21"/>
  <c r="S26" i="22"/>
  <c r="S28" i="21"/>
  <c r="S20" i="22"/>
  <c r="S24" i="21"/>
  <c r="S17" i="24"/>
  <c r="S17" i="25" s="1"/>
  <c r="S17" i="26" s="1"/>
  <c r="S17" i="27" s="1"/>
  <c r="S12" i="22"/>
  <c r="S15" i="21"/>
  <c r="C47" i="21"/>
  <c r="H47" i="21" s="1"/>
  <c r="C47" i="22" s="1"/>
  <c r="H47" i="22" s="1"/>
  <c r="C42" i="21"/>
  <c r="H42" i="21" s="1"/>
  <c r="C42" i="22" s="1"/>
  <c r="H42" i="22" s="1"/>
  <c r="C40" i="21"/>
  <c r="C36" i="21"/>
  <c r="H36" i="21" s="1"/>
  <c r="C36" i="22" s="1"/>
  <c r="H36" i="22" s="1"/>
  <c r="C34" i="21"/>
  <c r="C31" i="21"/>
  <c r="H31" i="21" s="1"/>
  <c r="C31" i="22" s="1"/>
  <c r="H31" i="22" s="1"/>
  <c r="C29" i="21"/>
  <c r="C26" i="21"/>
  <c r="C22" i="21"/>
  <c r="H22" i="21" s="1"/>
  <c r="C22" i="22" s="1"/>
  <c r="H22" i="22" s="1"/>
  <c r="C20" i="21"/>
  <c r="C17" i="21"/>
  <c r="H17" i="21" s="1"/>
  <c r="C17" i="22" s="1"/>
  <c r="H17" i="22" s="1"/>
  <c r="C14" i="21"/>
  <c r="H14" i="21" s="1"/>
  <c r="C14" i="22" s="1"/>
  <c r="H14" i="22" s="1"/>
  <c r="C12" i="21"/>
  <c r="U8" i="24"/>
  <c r="I8" i="25"/>
  <c r="N8" i="25" s="1"/>
  <c r="I8" i="26" s="1"/>
  <c r="N8" i="26" s="1"/>
  <c r="I8" i="27" s="1"/>
  <c r="N8" i="27" s="1"/>
  <c r="U43" i="19"/>
  <c r="U41" i="19"/>
  <c r="U37" i="19"/>
  <c r="U27" i="19"/>
  <c r="U23" i="19"/>
  <c r="U21" i="19"/>
  <c r="E35" i="25"/>
  <c r="E35" i="26" s="1"/>
  <c r="E35" i="27" s="1"/>
  <c r="E30" i="27"/>
  <c r="I9" i="23"/>
  <c r="N9" i="23" s="1"/>
  <c r="I9" i="24" s="1"/>
  <c r="N9" i="24" s="1"/>
  <c r="I9" i="25" s="1"/>
  <c r="N9" i="25" s="1"/>
  <c r="I9" i="26" s="1"/>
  <c r="N9" i="26" s="1"/>
  <c r="I9" i="27" s="1"/>
  <c r="N9" i="27" s="1"/>
  <c r="U48" i="19"/>
  <c r="U46" i="19"/>
  <c r="U32" i="19"/>
  <c r="U30" i="19"/>
  <c r="U18" i="19"/>
  <c r="U16" i="19"/>
  <c r="E7" i="22"/>
  <c r="E11" i="21"/>
  <c r="E45" i="22"/>
  <c r="E49" i="21"/>
  <c r="E40" i="22"/>
  <c r="E44" i="21"/>
  <c r="E34" i="22"/>
  <c r="E38" i="21"/>
  <c r="E29" i="22"/>
  <c r="E33" i="21"/>
  <c r="E26" i="22"/>
  <c r="E28" i="21"/>
  <c r="E20" i="22"/>
  <c r="E24" i="21"/>
  <c r="E12" i="22"/>
  <c r="E15" i="21"/>
  <c r="G7" i="22"/>
  <c r="G7" i="23" s="1"/>
  <c r="G11" i="21"/>
  <c r="G45" i="22"/>
  <c r="G49" i="21"/>
  <c r="G40" i="22"/>
  <c r="G44" i="21"/>
  <c r="G34" i="22"/>
  <c r="G38" i="21"/>
  <c r="G29" i="22"/>
  <c r="G33" i="21"/>
  <c r="G26" i="22"/>
  <c r="G28" i="21"/>
  <c r="G20" i="22"/>
  <c r="G24" i="21"/>
  <c r="G12" i="22"/>
  <c r="G15" i="21"/>
  <c r="G11" i="22"/>
  <c r="G9" i="23"/>
  <c r="G9" i="24" s="1"/>
  <c r="G9" i="25" s="1"/>
  <c r="G9" i="26" s="1"/>
  <c r="G9" i="27" s="1"/>
  <c r="K7" i="22"/>
  <c r="K11" i="21"/>
  <c r="K45" i="22"/>
  <c r="K49" i="21"/>
  <c r="K40" i="22"/>
  <c r="K44" i="21"/>
  <c r="K34" i="22"/>
  <c r="K38" i="21"/>
  <c r="K29" i="22"/>
  <c r="K29" i="23" s="1"/>
  <c r="K33" i="21"/>
  <c r="K26" i="22"/>
  <c r="K28" i="21"/>
  <c r="K20" i="22"/>
  <c r="K24" i="21"/>
  <c r="K12" i="22"/>
  <c r="K15" i="21"/>
  <c r="M7" i="22"/>
  <c r="M11" i="21"/>
  <c r="M45" i="22"/>
  <c r="M49" i="21"/>
  <c r="M40" i="22"/>
  <c r="M44" i="21"/>
  <c r="M34" i="22"/>
  <c r="M38" i="21"/>
  <c r="M29" i="22"/>
  <c r="M33" i="21"/>
  <c r="M26" i="22"/>
  <c r="M28" i="21"/>
  <c r="M20" i="22"/>
  <c r="M24" i="21"/>
  <c r="M17" i="24"/>
  <c r="M17" i="25" s="1"/>
  <c r="M17" i="26" s="1"/>
  <c r="M17" i="27" s="1"/>
  <c r="M12" i="22"/>
  <c r="M15" i="21"/>
  <c r="Q7" i="22"/>
  <c r="Q7" i="23" s="1"/>
  <c r="Q7" i="24" s="1"/>
  <c r="Q7" i="25" s="1"/>
  <c r="Q7" i="26" s="1"/>
  <c r="Q11" i="21"/>
  <c r="Q45" i="22"/>
  <c r="Q49" i="21"/>
  <c r="Q40" i="22"/>
  <c r="Q44" i="21"/>
  <c r="Q36" i="25"/>
  <c r="Q36" i="26" s="1"/>
  <c r="Q36" i="27" s="1"/>
  <c r="Q34" i="22"/>
  <c r="Q38" i="21"/>
  <c r="Q29" i="22"/>
  <c r="Q33" i="21"/>
  <c r="Q26" i="22"/>
  <c r="Q28" i="21"/>
  <c r="Q22" i="27"/>
  <c r="Q20" i="22"/>
  <c r="Q24" i="21"/>
  <c r="Q10" i="24"/>
  <c r="Q10" i="25" s="1"/>
  <c r="Q10" i="26" s="1"/>
  <c r="Q10" i="27" s="1"/>
  <c r="Q11" i="22"/>
  <c r="Q8" i="23"/>
  <c r="Q8" i="24" s="1"/>
  <c r="Q8" i="25" s="1"/>
  <c r="Q8" i="26" s="1"/>
  <c r="Q8" i="27" s="1"/>
  <c r="S16" i="22"/>
  <c r="S19" i="21"/>
  <c r="Q19" i="21"/>
  <c r="K16" i="17"/>
  <c r="U7" i="19"/>
  <c r="U9" i="19"/>
  <c r="I10" i="21"/>
  <c r="N10" i="21" s="1"/>
  <c r="I10" i="22" s="1"/>
  <c r="N10" i="22" s="1"/>
  <c r="I10" i="23" s="1"/>
  <c r="N10" i="23" s="1"/>
  <c r="I10" i="24" s="1"/>
  <c r="N10" i="24" s="1"/>
  <c r="I10" i="25" s="1"/>
  <c r="N10" i="25" s="1"/>
  <c r="I10" i="26" s="1"/>
  <c r="N10" i="26" s="1"/>
  <c r="I10" i="27" s="1"/>
  <c r="N10" i="27" s="1"/>
  <c r="U8" i="19"/>
  <c r="U35" i="21"/>
  <c r="U23" i="21"/>
  <c r="U27" i="21"/>
  <c r="U43" i="21"/>
  <c r="U31" i="21"/>
  <c r="U47" i="21"/>
  <c r="U7" i="21"/>
  <c r="U14" i="21"/>
  <c r="U18" i="21"/>
  <c r="U22" i="21"/>
  <c r="U30" i="21"/>
  <c r="U42" i="21"/>
  <c r="U46" i="21"/>
  <c r="U9" i="21"/>
  <c r="U13" i="21"/>
  <c r="U17" i="21"/>
  <c r="U21" i="21"/>
  <c r="U37" i="21"/>
  <c r="U41" i="21"/>
  <c r="U45" i="21"/>
  <c r="U8" i="21"/>
  <c r="U16" i="21"/>
  <c r="U32" i="21"/>
  <c r="U36" i="21"/>
  <c r="U48" i="21"/>
  <c r="Q39" i="21" l="1"/>
  <c r="Q50" i="21"/>
  <c r="M25" i="21"/>
  <c r="M39" i="21"/>
  <c r="M50" i="21"/>
  <c r="M51" i="21" s="1"/>
  <c r="K25" i="21"/>
  <c r="K39" i="21"/>
  <c r="K50" i="21"/>
  <c r="G25" i="21"/>
  <c r="G39" i="21"/>
  <c r="G50" i="21"/>
  <c r="G51" i="21" s="1"/>
  <c r="E25" i="21"/>
  <c r="E39" i="21"/>
  <c r="E50" i="21"/>
  <c r="C15" i="21"/>
  <c r="H12" i="21"/>
  <c r="C17" i="23"/>
  <c r="H17" i="23" s="1"/>
  <c r="U17" i="22"/>
  <c r="C22" i="23"/>
  <c r="H22" i="23" s="1"/>
  <c r="U22" i="22"/>
  <c r="C33" i="21"/>
  <c r="H29" i="21"/>
  <c r="H34" i="21"/>
  <c r="C38" i="21"/>
  <c r="C44" i="21"/>
  <c r="H40" i="21"/>
  <c r="C47" i="23"/>
  <c r="H47" i="23" s="1"/>
  <c r="U47" i="22"/>
  <c r="S12" i="23"/>
  <c r="S15" i="22"/>
  <c r="S20" i="23"/>
  <c r="S24" i="22"/>
  <c r="S28" i="22"/>
  <c r="S39" i="22" s="1"/>
  <c r="S26" i="23"/>
  <c r="S29" i="23"/>
  <c r="S33" i="22"/>
  <c r="S34" i="23"/>
  <c r="S38" i="22"/>
  <c r="S40" i="23"/>
  <c r="S44" i="22"/>
  <c r="S45" i="23"/>
  <c r="S49" i="22"/>
  <c r="S50" i="22" s="1"/>
  <c r="S7" i="23"/>
  <c r="S11" i="22"/>
  <c r="Q11" i="24"/>
  <c r="Q11" i="25" s="1"/>
  <c r="Q12" i="23"/>
  <c r="Q15" i="22"/>
  <c r="Q16" i="24"/>
  <c r="Q19" i="23"/>
  <c r="M16" i="23"/>
  <c r="M19" i="22"/>
  <c r="K16" i="23"/>
  <c r="K19" i="22"/>
  <c r="K33" i="22"/>
  <c r="G16" i="23"/>
  <c r="G19" i="22"/>
  <c r="E16" i="23"/>
  <c r="E19" i="22"/>
  <c r="I11" i="21"/>
  <c r="O12" i="22"/>
  <c r="T15" i="21"/>
  <c r="T16" i="22"/>
  <c r="O19" i="22"/>
  <c r="O20" i="22"/>
  <c r="T24" i="21"/>
  <c r="O22" i="27"/>
  <c r="T22" i="27" s="1"/>
  <c r="O26" i="22"/>
  <c r="T28" i="21"/>
  <c r="O34" i="22"/>
  <c r="T38" i="21"/>
  <c r="O40" i="22"/>
  <c r="T44" i="21"/>
  <c r="O7" i="22"/>
  <c r="T11" i="21"/>
  <c r="C8" i="26"/>
  <c r="H8" i="26" s="1"/>
  <c r="U8" i="25"/>
  <c r="U10" i="22"/>
  <c r="C16" i="22"/>
  <c r="H19" i="21"/>
  <c r="U18" i="22"/>
  <c r="C7" i="22"/>
  <c r="H11" i="21"/>
  <c r="T9" i="27"/>
  <c r="O29" i="22"/>
  <c r="T33" i="21"/>
  <c r="O45" i="22"/>
  <c r="T49" i="21"/>
  <c r="T50" i="21" s="1"/>
  <c r="I12" i="22"/>
  <c r="N15" i="21"/>
  <c r="I16" i="22"/>
  <c r="N19" i="21"/>
  <c r="I20" i="22"/>
  <c r="N24" i="21"/>
  <c r="I26" i="22"/>
  <c r="N28" i="21"/>
  <c r="I34" i="22"/>
  <c r="N38" i="21"/>
  <c r="I40" i="22"/>
  <c r="N44" i="21"/>
  <c r="C49" i="21"/>
  <c r="C50" i="21" s="1"/>
  <c r="U49" i="21"/>
  <c r="Q25" i="21"/>
  <c r="Q51" i="21" s="1"/>
  <c r="S16" i="23"/>
  <c r="S19" i="22"/>
  <c r="Q11" i="23"/>
  <c r="Q20" i="23"/>
  <c r="Q24" i="22"/>
  <c r="Q25" i="22" s="1"/>
  <c r="Q28" i="22"/>
  <c r="Q26" i="23"/>
  <c r="Q29" i="23"/>
  <c r="Q33" i="22"/>
  <c r="Q34" i="23"/>
  <c r="Q38" i="22"/>
  <c r="Q40" i="23"/>
  <c r="Q44" i="22"/>
  <c r="Q45" i="23"/>
  <c r="Q49" i="22"/>
  <c r="Q50" i="22" s="1"/>
  <c r="Q7" i="27"/>
  <c r="Q11" i="27" s="1"/>
  <c r="Q11" i="26"/>
  <c r="M12" i="23"/>
  <c r="M15" i="22"/>
  <c r="M20" i="23"/>
  <c r="M24" i="22"/>
  <c r="M26" i="23"/>
  <c r="M28" i="22"/>
  <c r="M29" i="23"/>
  <c r="M33" i="22"/>
  <c r="M34" i="23"/>
  <c r="M38" i="22"/>
  <c r="M39" i="22" s="1"/>
  <c r="M40" i="23"/>
  <c r="M44" i="22"/>
  <c r="M45" i="23"/>
  <c r="M49" i="22"/>
  <c r="M50" i="22" s="1"/>
  <c r="M7" i="23"/>
  <c r="M11" i="22"/>
  <c r="K12" i="23"/>
  <c r="K15" i="22"/>
  <c r="K20" i="23"/>
  <c r="K24" i="22"/>
  <c r="K26" i="23"/>
  <c r="K28" i="22"/>
  <c r="K29" i="24"/>
  <c r="K33" i="23"/>
  <c r="K34" i="23"/>
  <c r="K38" i="22"/>
  <c r="K40" i="23"/>
  <c r="K44" i="22"/>
  <c r="K45" i="23"/>
  <c r="K49" i="22"/>
  <c r="K50" i="22" s="1"/>
  <c r="K7" i="23"/>
  <c r="K11" i="22"/>
  <c r="K25" i="22" s="1"/>
  <c r="G12" i="23"/>
  <c r="G15" i="22"/>
  <c r="G20" i="23"/>
  <c r="G24" i="22"/>
  <c r="G25" i="22" s="1"/>
  <c r="G26" i="23"/>
  <c r="G28" i="22"/>
  <c r="G29" i="23"/>
  <c r="G33" i="22"/>
  <c r="G34" i="23"/>
  <c r="G38" i="22"/>
  <c r="G39" i="22" s="1"/>
  <c r="G40" i="23"/>
  <c r="G44" i="22"/>
  <c r="G45" i="23"/>
  <c r="G49" i="22"/>
  <c r="G50" i="22" s="1"/>
  <c r="G7" i="24"/>
  <c r="G11" i="23"/>
  <c r="E12" i="23"/>
  <c r="E15" i="22"/>
  <c r="E20" i="23"/>
  <c r="E24" i="22"/>
  <c r="E28" i="22"/>
  <c r="E26" i="23"/>
  <c r="E29" i="23"/>
  <c r="E33" i="22"/>
  <c r="E34" i="23"/>
  <c r="E38" i="22"/>
  <c r="E39" i="22" s="1"/>
  <c r="E40" i="23"/>
  <c r="E44" i="22"/>
  <c r="E49" i="22"/>
  <c r="E45" i="23"/>
  <c r="E11" i="22"/>
  <c r="E7" i="23"/>
  <c r="C14" i="23"/>
  <c r="H14" i="23" s="1"/>
  <c r="U14" i="22"/>
  <c r="C24" i="21"/>
  <c r="H20" i="21"/>
  <c r="C28" i="21"/>
  <c r="H26" i="21"/>
  <c r="C31" i="23"/>
  <c r="H31" i="23" s="1"/>
  <c r="U31" i="22"/>
  <c r="C36" i="23"/>
  <c r="H36" i="23" s="1"/>
  <c r="U36" i="22"/>
  <c r="C42" i="23"/>
  <c r="H42" i="23" s="1"/>
  <c r="U42" i="22"/>
  <c r="S25" i="21"/>
  <c r="S39" i="21"/>
  <c r="S50" i="21"/>
  <c r="E8" i="25"/>
  <c r="E8" i="26" s="1"/>
  <c r="E8" i="27" s="1"/>
  <c r="E23" i="25"/>
  <c r="E23" i="26" s="1"/>
  <c r="E23" i="27" s="1"/>
  <c r="I7" i="22"/>
  <c r="N11" i="21"/>
  <c r="T19" i="21"/>
  <c r="T25" i="21" s="1"/>
  <c r="O25" i="21"/>
  <c r="O39" i="21"/>
  <c r="I29" i="22"/>
  <c r="N33" i="21"/>
  <c r="I45" i="22"/>
  <c r="N49" i="21"/>
  <c r="N50" i="21" s="1"/>
  <c r="U8" i="23"/>
  <c r="C10" i="24"/>
  <c r="H10" i="24" s="1"/>
  <c r="U10" i="23"/>
  <c r="C19" i="21"/>
  <c r="C18" i="24"/>
  <c r="H18" i="24" s="1"/>
  <c r="U18" i="23"/>
  <c r="C30" i="24"/>
  <c r="H30" i="24" s="1"/>
  <c r="U30" i="23"/>
  <c r="U32" i="23"/>
  <c r="C32" i="24"/>
  <c r="H32" i="24" s="1"/>
  <c r="C46" i="24"/>
  <c r="H46" i="24" s="1"/>
  <c r="U46" i="23"/>
  <c r="C48" i="24"/>
  <c r="H48" i="24" s="1"/>
  <c r="U48" i="23"/>
  <c r="O50" i="21"/>
  <c r="O51" i="21" s="1"/>
  <c r="P15" i="17" s="1"/>
  <c r="I25" i="21"/>
  <c r="I39" i="21"/>
  <c r="I51" i="21" s="1"/>
  <c r="L15" i="17" s="1"/>
  <c r="C9" i="24"/>
  <c r="H9" i="24" s="1"/>
  <c r="U9" i="23"/>
  <c r="C13" i="24"/>
  <c r="H13" i="24" s="1"/>
  <c r="U13" i="23"/>
  <c r="C21" i="24"/>
  <c r="H21" i="24" s="1"/>
  <c r="U21" i="23"/>
  <c r="C23" i="24"/>
  <c r="H23" i="24" s="1"/>
  <c r="U23" i="23"/>
  <c r="C27" i="24"/>
  <c r="H27" i="24" s="1"/>
  <c r="U27" i="23"/>
  <c r="C35" i="24"/>
  <c r="H35" i="24" s="1"/>
  <c r="U35" i="23"/>
  <c r="C37" i="24"/>
  <c r="H37" i="24" s="1"/>
  <c r="U37" i="23"/>
  <c r="C41" i="24"/>
  <c r="H41" i="24" s="1"/>
  <c r="U41" i="23"/>
  <c r="C43" i="24"/>
  <c r="H43" i="24" s="1"/>
  <c r="U43" i="23"/>
  <c r="C45" i="22"/>
  <c r="H49" i="21"/>
  <c r="U19" i="21"/>
  <c r="U10" i="21"/>
  <c r="U11" i="21" s="1"/>
  <c r="J16" i="17"/>
  <c r="H45" i="22" l="1"/>
  <c r="C49" i="22"/>
  <c r="C41" i="25"/>
  <c r="H41" i="25" s="1"/>
  <c r="U41" i="24"/>
  <c r="C35" i="25"/>
  <c r="H35" i="25" s="1"/>
  <c r="U35" i="24"/>
  <c r="C23" i="25"/>
  <c r="H23" i="25" s="1"/>
  <c r="U23" i="24"/>
  <c r="U13" i="24"/>
  <c r="C13" i="25"/>
  <c r="H13" i="25" s="1"/>
  <c r="C48" i="25"/>
  <c r="H48" i="25" s="1"/>
  <c r="U48" i="24"/>
  <c r="C46" i="25"/>
  <c r="H46" i="25" s="1"/>
  <c r="U46" i="24"/>
  <c r="C30" i="25"/>
  <c r="H30" i="25" s="1"/>
  <c r="U30" i="24"/>
  <c r="C18" i="25"/>
  <c r="H18" i="25" s="1"/>
  <c r="U18" i="24"/>
  <c r="I49" i="22"/>
  <c r="N45" i="22"/>
  <c r="I33" i="22"/>
  <c r="N29" i="22"/>
  <c r="S51" i="21"/>
  <c r="C42" i="24"/>
  <c r="H42" i="24" s="1"/>
  <c r="U42" i="23"/>
  <c r="C36" i="24"/>
  <c r="H36" i="24" s="1"/>
  <c r="U36" i="23"/>
  <c r="C31" i="24"/>
  <c r="H31" i="24" s="1"/>
  <c r="U31" i="23"/>
  <c r="C25" i="21"/>
  <c r="C14" i="24"/>
  <c r="H14" i="24" s="1"/>
  <c r="U14" i="23"/>
  <c r="E25" i="22"/>
  <c r="E51" i="22" s="1"/>
  <c r="E50" i="22"/>
  <c r="E40" i="24"/>
  <c r="E44" i="23"/>
  <c r="E34" i="24"/>
  <c r="E38" i="23"/>
  <c r="E29" i="24"/>
  <c r="E33" i="23"/>
  <c r="E20" i="24"/>
  <c r="E24" i="23"/>
  <c r="E12" i="24"/>
  <c r="E15" i="23"/>
  <c r="G7" i="25"/>
  <c r="G7" i="26" s="1"/>
  <c r="G11" i="24"/>
  <c r="G45" i="24"/>
  <c r="G49" i="23"/>
  <c r="G40" i="24"/>
  <c r="G44" i="23"/>
  <c r="G34" i="24"/>
  <c r="G38" i="23"/>
  <c r="G29" i="24"/>
  <c r="G33" i="23"/>
  <c r="G26" i="24"/>
  <c r="G28" i="23"/>
  <c r="G20" i="24"/>
  <c r="G24" i="23"/>
  <c r="G12" i="24"/>
  <c r="G15" i="23"/>
  <c r="M51" i="22"/>
  <c r="M25" i="22"/>
  <c r="Q39" i="22"/>
  <c r="Q51" i="22" s="1"/>
  <c r="Q28" i="23"/>
  <c r="Q26" i="24"/>
  <c r="S16" i="24"/>
  <c r="S19" i="23"/>
  <c r="I44" i="22"/>
  <c r="N40" i="22"/>
  <c r="I38" i="22"/>
  <c r="N34" i="22"/>
  <c r="I28" i="22"/>
  <c r="N26" i="22"/>
  <c r="I24" i="22"/>
  <c r="N20" i="22"/>
  <c r="I19" i="22"/>
  <c r="N16" i="22"/>
  <c r="N12" i="22"/>
  <c r="I15" i="22"/>
  <c r="O49" i="22"/>
  <c r="T45" i="22"/>
  <c r="O33" i="22"/>
  <c r="T29" i="22"/>
  <c r="C11" i="22"/>
  <c r="H7" i="22"/>
  <c r="H16" i="22"/>
  <c r="C19" i="22"/>
  <c r="O11" i="22"/>
  <c r="T7" i="22"/>
  <c r="O44" i="22"/>
  <c r="T40" i="22"/>
  <c r="O38" i="22"/>
  <c r="T34" i="22"/>
  <c r="O28" i="22"/>
  <c r="T26" i="22"/>
  <c r="O24" i="22"/>
  <c r="T20" i="22"/>
  <c r="O16" i="23"/>
  <c r="T19" i="22"/>
  <c r="O15" i="22"/>
  <c r="T12" i="22"/>
  <c r="K39" i="22"/>
  <c r="K51" i="22" s="1"/>
  <c r="K16" i="24"/>
  <c r="K19" i="23"/>
  <c r="M16" i="24"/>
  <c r="M19" i="23"/>
  <c r="Q16" i="25"/>
  <c r="Q16" i="26" s="1"/>
  <c r="Q19" i="24"/>
  <c r="Q19" i="25" s="1"/>
  <c r="Q12" i="24"/>
  <c r="Q15" i="23"/>
  <c r="S26" i="24"/>
  <c r="S28" i="23"/>
  <c r="S25" i="22"/>
  <c r="S51" i="22" s="1"/>
  <c r="C40" i="22"/>
  <c r="H44" i="21"/>
  <c r="H50" i="21" s="1"/>
  <c r="H51" i="21" s="1"/>
  <c r="H58" i="21" s="1"/>
  <c r="U40" i="21"/>
  <c r="U44" i="21" s="1"/>
  <c r="C39" i="21"/>
  <c r="C51" i="21" s="1"/>
  <c r="H15" i="17" s="1"/>
  <c r="C29" i="22"/>
  <c r="H33" i="21"/>
  <c r="U29" i="21"/>
  <c r="U33" i="21" s="1"/>
  <c r="C12" i="22"/>
  <c r="H15" i="21"/>
  <c r="U12" i="21"/>
  <c r="U15" i="21" s="1"/>
  <c r="E51" i="21"/>
  <c r="K51" i="21"/>
  <c r="C43" i="25"/>
  <c r="H43" i="25" s="1"/>
  <c r="U43" i="24"/>
  <c r="C37" i="25"/>
  <c r="H37" i="25" s="1"/>
  <c r="U37" i="24"/>
  <c r="C27" i="25"/>
  <c r="H27" i="25" s="1"/>
  <c r="U27" i="24"/>
  <c r="C21" i="25"/>
  <c r="H21" i="25" s="1"/>
  <c r="U21" i="24"/>
  <c r="C9" i="25"/>
  <c r="H9" i="25" s="1"/>
  <c r="U9" i="24"/>
  <c r="C32" i="25"/>
  <c r="H32" i="25" s="1"/>
  <c r="U32" i="24"/>
  <c r="C10" i="25"/>
  <c r="H10" i="25" s="1"/>
  <c r="U10" i="24"/>
  <c r="I11" i="22"/>
  <c r="N7" i="22"/>
  <c r="C26" i="22"/>
  <c r="H28" i="21"/>
  <c r="U26" i="21"/>
  <c r="U28" i="21" s="1"/>
  <c r="C20" i="22"/>
  <c r="H24" i="21"/>
  <c r="H25" i="21" s="1"/>
  <c r="U20" i="21"/>
  <c r="U24" i="21" s="1"/>
  <c r="U25" i="21" s="1"/>
  <c r="U51" i="21" s="1"/>
  <c r="E7" i="24"/>
  <c r="E11" i="23"/>
  <c r="E45" i="24"/>
  <c r="E49" i="23"/>
  <c r="E50" i="23" s="1"/>
  <c r="E26" i="24"/>
  <c r="E28" i="23"/>
  <c r="G51" i="22"/>
  <c r="K7" i="24"/>
  <c r="K11" i="23"/>
  <c r="K49" i="23"/>
  <c r="K50" i="23" s="1"/>
  <c r="K45" i="24"/>
  <c r="K40" i="24"/>
  <c r="K44" i="23"/>
  <c r="K38" i="23"/>
  <c r="K39" i="23" s="1"/>
  <c r="K34" i="24"/>
  <c r="K29" i="25"/>
  <c r="K29" i="26" s="1"/>
  <c r="K33" i="24"/>
  <c r="K33" i="25" s="1"/>
  <c r="K26" i="24"/>
  <c r="K28" i="23"/>
  <c r="K20" i="24"/>
  <c r="K24" i="23"/>
  <c r="K12" i="24"/>
  <c r="K15" i="23"/>
  <c r="M7" i="24"/>
  <c r="M11" i="23"/>
  <c r="M45" i="24"/>
  <c r="M49" i="23"/>
  <c r="M40" i="24"/>
  <c r="M44" i="23"/>
  <c r="M34" i="24"/>
  <c r="M38" i="23"/>
  <c r="M29" i="24"/>
  <c r="M33" i="23"/>
  <c r="M26" i="24"/>
  <c r="M28" i="23"/>
  <c r="M20" i="24"/>
  <c r="M24" i="23"/>
  <c r="M12" i="24"/>
  <c r="M15" i="23"/>
  <c r="Q49" i="23"/>
  <c r="Q50" i="23" s="1"/>
  <c r="Q45" i="24"/>
  <c r="Q40" i="24"/>
  <c r="Q44" i="23"/>
  <c r="Q38" i="23"/>
  <c r="Q39" i="23" s="1"/>
  <c r="Q34" i="24"/>
  <c r="Q29" i="24"/>
  <c r="Q33" i="23"/>
  <c r="Q24" i="23"/>
  <c r="Q25" i="23" s="1"/>
  <c r="Q20" i="24"/>
  <c r="U50" i="21"/>
  <c r="N39" i="21"/>
  <c r="N51" i="21" s="1"/>
  <c r="N25" i="21"/>
  <c r="C8" i="27"/>
  <c r="H8" i="27" s="1"/>
  <c r="U8" i="27" s="1"/>
  <c r="U8" i="26"/>
  <c r="T39" i="21"/>
  <c r="T51" i="21" s="1"/>
  <c r="E16" i="24"/>
  <c r="E19" i="23"/>
  <c r="E25" i="23" s="1"/>
  <c r="G16" i="24"/>
  <c r="G19" i="23"/>
  <c r="S7" i="24"/>
  <c r="S11" i="23"/>
  <c r="S45" i="24"/>
  <c r="S49" i="23"/>
  <c r="S40" i="24"/>
  <c r="S44" i="23"/>
  <c r="S34" i="24"/>
  <c r="S38" i="23"/>
  <c r="S29" i="24"/>
  <c r="S33" i="23"/>
  <c r="S20" i="24"/>
  <c r="S24" i="23"/>
  <c r="S12" i="24"/>
  <c r="S15" i="23"/>
  <c r="C47" i="24"/>
  <c r="H47" i="24" s="1"/>
  <c r="U47" i="23"/>
  <c r="C34" i="22"/>
  <c r="H38" i="21"/>
  <c r="H39" i="21" s="1"/>
  <c r="U34" i="21"/>
  <c r="U38" i="21" s="1"/>
  <c r="U39" i="21" s="1"/>
  <c r="C22" i="24"/>
  <c r="H22" i="24" s="1"/>
  <c r="U22" i="23"/>
  <c r="C17" i="24"/>
  <c r="H17" i="24" s="1"/>
  <c r="U17" i="23"/>
  <c r="O16" i="17"/>
  <c r="F16" i="17"/>
  <c r="F28" i="17" s="1"/>
  <c r="G16" i="17"/>
  <c r="N16" i="17"/>
  <c r="H56" i="21"/>
  <c r="H56" i="19"/>
  <c r="S52" i="19"/>
  <c r="S53" i="19"/>
  <c r="K52" i="19"/>
  <c r="K53" i="19"/>
  <c r="C52" i="19"/>
  <c r="C53" i="19"/>
  <c r="C47" i="25" l="1"/>
  <c r="H47" i="25" s="1"/>
  <c r="U47" i="24"/>
  <c r="C17" i="25"/>
  <c r="H17" i="25" s="1"/>
  <c r="U17" i="24"/>
  <c r="C22" i="25"/>
  <c r="H22" i="25" s="1"/>
  <c r="U22" i="24"/>
  <c r="S39" i="23"/>
  <c r="S50" i="23"/>
  <c r="Q20" i="25"/>
  <c r="Q20" i="26" s="1"/>
  <c r="Q24" i="24"/>
  <c r="Q34" i="25"/>
  <c r="Q34" i="26" s="1"/>
  <c r="Q38" i="24"/>
  <c r="Q49" i="24"/>
  <c r="Q45" i="25"/>
  <c r="Q45" i="26" s="1"/>
  <c r="M39" i="23"/>
  <c r="M50" i="23"/>
  <c r="K25" i="23"/>
  <c r="K51" i="23" s="1"/>
  <c r="K34" i="25"/>
  <c r="K34" i="26" s="1"/>
  <c r="K38" i="24"/>
  <c r="K45" i="25"/>
  <c r="K45" i="26" s="1"/>
  <c r="K49" i="24"/>
  <c r="E26" i="25"/>
  <c r="E26" i="26" s="1"/>
  <c r="E28" i="24"/>
  <c r="E45" i="25"/>
  <c r="E45" i="26" s="1"/>
  <c r="E49" i="24"/>
  <c r="E49" i="25" s="1"/>
  <c r="E7" i="25"/>
  <c r="E7" i="26" s="1"/>
  <c r="E11" i="24"/>
  <c r="E11" i="25" s="1"/>
  <c r="H26" i="22"/>
  <c r="C28" i="22"/>
  <c r="C10" i="26"/>
  <c r="H10" i="26" s="1"/>
  <c r="U10" i="25"/>
  <c r="C32" i="26"/>
  <c r="H32" i="26" s="1"/>
  <c r="U32" i="25"/>
  <c r="C9" i="26"/>
  <c r="H9" i="26" s="1"/>
  <c r="U9" i="25"/>
  <c r="C21" i="26"/>
  <c r="H21" i="26" s="1"/>
  <c r="U21" i="25"/>
  <c r="C27" i="26"/>
  <c r="H27" i="26" s="1"/>
  <c r="U27" i="25"/>
  <c r="C37" i="26"/>
  <c r="H37" i="26" s="1"/>
  <c r="U37" i="25"/>
  <c r="C43" i="26"/>
  <c r="H43" i="26" s="1"/>
  <c r="U43" i="25"/>
  <c r="H29" i="22"/>
  <c r="C33" i="22"/>
  <c r="H40" i="22"/>
  <c r="C44" i="22"/>
  <c r="Q12" i="25"/>
  <c r="Q12" i="26" s="1"/>
  <c r="Q15" i="24"/>
  <c r="Q15" i="25" s="1"/>
  <c r="Q16" i="27"/>
  <c r="Q19" i="27" s="1"/>
  <c r="Q19" i="26"/>
  <c r="M16" i="25"/>
  <c r="M16" i="26" s="1"/>
  <c r="M19" i="24"/>
  <c r="M19" i="25" s="1"/>
  <c r="K19" i="24"/>
  <c r="K19" i="25" s="1"/>
  <c r="K16" i="25"/>
  <c r="K16" i="26" s="1"/>
  <c r="O12" i="23"/>
  <c r="T15" i="22"/>
  <c r="O20" i="23"/>
  <c r="T24" i="22"/>
  <c r="T28" i="22"/>
  <c r="O26" i="23"/>
  <c r="O34" i="23"/>
  <c r="T38" i="22"/>
  <c r="O40" i="23"/>
  <c r="T44" i="22"/>
  <c r="O7" i="23"/>
  <c r="T11" i="22"/>
  <c r="T25" i="22" s="1"/>
  <c r="H11" i="22"/>
  <c r="C7" i="23"/>
  <c r="U7" i="22"/>
  <c r="U11" i="22" s="1"/>
  <c r="O29" i="23"/>
  <c r="T33" i="22"/>
  <c r="O45" i="23"/>
  <c r="T49" i="22"/>
  <c r="T50" i="22" s="1"/>
  <c r="I16" i="23"/>
  <c r="N19" i="22"/>
  <c r="I20" i="23"/>
  <c r="N24" i="22"/>
  <c r="I26" i="23"/>
  <c r="N28" i="22"/>
  <c r="I34" i="23"/>
  <c r="N38" i="22"/>
  <c r="I40" i="23"/>
  <c r="N44" i="22"/>
  <c r="C56" i="21"/>
  <c r="S25" i="23"/>
  <c r="S51" i="23" s="1"/>
  <c r="G25" i="23"/>
  <c r="G39" i="23"/>
  <c r="G50" i="23"/>
  <c r="G11" i="25"/>
  <c r="E39" i="23"/>
  <c r="E51" i="23" s="1"/>
  <c r="C31" i="25"/>
  <c r="H31" i="25" s="1"/>
  <c r="U31" i="24"/>
  <c r="C36" i="25"/>
  <c r="H36" i="25" s="1"/>
  <c r="U36" i="24"/>
  <c r="C42" i="25"/>
  <c r="H42" i="25" s="1"/>
  <c r="U42" i="24"/>
  <c r="I29" i="23"/>
  <c r="N33" i="22"/>
  <c r="I45" i="23"/>
  <c r="N49" i="22"/>
  <c r="N50" i="22" s="1"/>
  <c r="C46" i="26"/>
  <c r="H46" i="26" s="1"/>
  <c r="U46" i="25"/>
  <c r="C48" i="26"/>
  <c r="H48" i="26" s="1"/>
  <c r="U48" i="25"/>
  <c r="C13" i="26"/>
  <c r="H13" i="26" s="1"/>
  <c r="U13" i="25"/>
  <c r="C35" i="26"/>
  <c r="H35" i="26" s="1"/>
  <c r="U35" i="25"/>
  <c r="C41" i="26"/>
  <c r="H41" i="26" s="1"/>
  <c r="U41" i="25"/>
  <c r="H49" i="22"/>
  <c r="C45" i="23"/>
  <c r="U45" i="22"/>
  <c r="U49" i="22" s="1"/>
  <c r="H34" i="22"/>
  <c r="C38" i="22"/>
  <c r="C39" i="22" s="1"/>
  <c r="S12" i="25"/>
  <c r="S12" i="26" s="1"/>
  <c r="S15" i="24"/>
  <c r="S15" i="25" s="1"/>
  <c r="S20" i="25"/>
  <c r="S20" i="26" s="1"/>
  <c r="S24" i="24"/>
  <c r="S29" i="25"/>
  <c r="S29" i="26" s="1"/>
  <c r="S33" i="24"/>
  <c r="S33" i="25" s="1"/>
  <c r="S34" i="25"/>
  <c r="S34" i="26" s="1"/>
  <c r="S38" i="24"/>
  <c r="S40" i="25"/>
  <c r="S40" i="26" s="1"/>
  <c r="S44" i="24"/>
  <c r="S44" i="25" s="1"/>
  <c r="S45" i="25"/>
  <c r="S45" i="26" s="1"/>
  <c r="S49" i="24"/>
  <c r="S7" i="25"/>
  <c r="S7" i="26" s="1"/>
  <c r="S11" i="24"/>
  <c r="S11" i="25" s="1"/>
  <c r="G16" i="25"/>
  <c r="G16" i="26" s="1"/>
  <c r="G19" i="24"/>
  <c r="G19" i="25" s="1"/>
  <c r="E19" i="24"/>
  <c r="E19" i="25" s="1"/>
  <c r="E16" i="25"/>
  <c r="E16" i="26" s="1"/>
  <c r="Q29" i="25"/>
  <c r="Q29" i="26" s="1"/>
  <c r="Q33" i="24"/>
  <c r="Q33" i="25" s="1"/>
  <c r="Q40" i="25"/>
  <c r="Q40" i="26" s="1"/>
  <c r="Q44" i="24"/>
  <c r="Q44" i="25" s="1"/>
  <c r="Q51" i="23"/>
  <c r="M12" i="25"/>
  <c r="M12" i="26" s="1"/>
  <c r="M15" i="24"/>
  <c r="M15" i="25" s="1"/>
  <c r="M20" i="25"/>
  <c r="M20" i="26" s="1"/>
  <c r="M24" i="24"/>
  <c r="M26" i="25"/>
  <c r="M26" i="26" s="1"/>
  <c r="M28" i="24"/>
  <c r="M28" i="25" s="1"/>
  <c r="M29" i="25"/>
  <c r="M29" i="26" s="1"/>
  <c r="M33" i="24"/>
  <c r="M33" i="25" s="1"/>
  <c r="M34" i="25"/>
  <c r="M34" i="26" s="1"/>
  <c r="M38" i="24"/>
  <c r="M40" i="25"/>
  <c r="M40" i="26" s="1"/>
  <c r="M44" i="24"/>
  <c r="M44" i="25" s="1"/>
  <c r="M45" i="25"/>
  <c r="M45" i="26" s="1"/>
  <c r="M49" i="24"/>
  <c r="M7" i="25"/>
  <c r="M7" i="26" s="1"/>
  <c r="M11" i="24"/>
  <c r="M11" i="25" s="1"/>
  <c r="K12" i="25"/>
  <c r="K12" i="26" s="1"/>
  <c r="K15" i="24"/>
  <c r="K15" i="25" s="1"/>
  <c r="K20" i="25"/>
  <c r="K20" i="26" s="1"/>
  <c r="K24" i="24"/>
  <c r="K26" i="25"/>
  <c r="K26" i="26" s="1"/>
  <c r="K28" i="24"/>
  <c r="K28" i="25" s="1"/>
  <c r="K29" i="27"/>
  <c r="K33" i="27" s="1"/>
  <c r="K33" i="26"/>
  <c r="K40" i="25"/>
  <c r="K40" i="26" s="1"/>
  <c r="K44" i="24"/>
  <c r="K44" i="25" s="1"/>
  <c r="K7" i="25"/>
  <c r="K7" i="26" s="1"/>
  <c r="K11" i="24"/>
  <c r="K11" i="25" s="1"/>
  <c r="H20" i="22"/>
  <c r="C24" i="22"/>
  <c r="I7" i="23"/>
  <c r="N11" i="22"/>
  <c r="H12" i="22"/>
  <c r="C15" i="22"/>
  <c r="S26" i="25"/>
  <c r="S26" i="26" s="1"/>
  <c r="S28" i="24"/>
  <c r="S28" i="25" s="1"/>
  <c r="M25" i="23"/>
  <c r="M51" i="23" s="1"/>
  <c r="O19" i="23"/>
  <c r="T16" i="23"/>
  <c r="O25" i="22"/>
  <c r="O39" i="22"/>
  <c r="C16" i="23"/>
  <c r="H19" i="22"/>
  <c r="U16" i="22"/>
  <c r="U19" i="22" s="1"/>
  <c r="O50" i="22"/>
  <c r="O51" i="22" s="1"/>
  <c r="I12" i="23"/>
  <c r="N15" i="22"/>
  <c r="I25" i="22"/>
  <c r="I39" i="22"/>
  <c r="S16" i="25"/>
  <c r="S16" i="26" s="1"/>
  <c r="S19" i="24"/>
  <c r="S19" i="25" s="1"/>
  <c r="Q26" i="25"/>
  <c r="Q26" i="26" s="1"/>
  <c r="Q28" i="24"/>
  <c r="Q28" i="25" s="1"/>
  <c r="G12" i="25"/>
  <c r="G12" i="26" s="1"/>
  <c r="G15" i="24"/>
  <c r="G15" i="25" s="1"/>
  <c r="G20" i="25"/>
  <c r="G20" i="26" s="1"/>
  <c r="G24" i="24"/>
  <c r="G24" i="25" s="1"/>
  <c r="G26" i="25"/>
  <c r="G26" i="26" s="1"/>
  <c r="G28" i="24"/>
  <c r="G28" i="25" s="1"/>
  <c r="G29" i="25"/>
  <c r="G29" i="26" s="1"/>
  <c r="G33" i="24"/>
  <c r="G33" i="25" s="1"/>
  <c r="G34" i="25"/>
  <c r="G34" i="26" s="1"/>
  <c r="G38" i="24"/>
  <c r="G40" i="25"/>
  <c r="G40" i="26" s="1"/>
  <c r="G44" i="24"/>
  <c r="G44" i="25" s="1"/>
  <c r="G45" i="25"/>
  <c r="G45" i="26" s="1"/>
  <c r="G49" i="24"/>
  <c r="G7" i="27"/>
  <c r="G11" i="27" s="1"/>
  <c r="G11" i="26"/>
  <c r="E12" i="25"/>
  <c r="E12" i="26" s="1"/>
  <c r="E15" i="24"/>
  <c r="E15" i="25" s="1"/>
  <c r="E20" i="25"/>
  <c r="E20" i="26" s="1"/>
  <c r="E24" i="24"/>
  <c r="E29" i="25"/>
  <c r="E29" i="26" s="1"/>
  <c r="E33" i="24"/>
  <c r="E33" i="25" s="1"/>
  <c r="E34" i="25"/>
  <c r="E34" i="26" s="1"/>
  <c r="E38" i="24"/>
  <c r="E38" i="25" s="1"/>
  <c r="E40" i="25"/>
  <c r="E40" i="26" s="1"/>
  <c r="E44" i="24"/>
  <c r="H57" i="22"/>
  <c r="C14" i="25"/>
  <c r="H14" i="25" s="1"/>
  <c r="U14" i="24"/>
  <c r="I50" i="22"/>
  <c r="I51" i="22" s="1"/>
  <c r="C18" i="26"/>
  <c r="H18" i="26" s="1"/>
  <c r="U18" i="25"/>
  <c r="C30" i="26"/>
  <c r="H30" i="26" s="1"/>
  <c r="U30" i="25"/>
  <c r="C23" i="26"/>
  <c r="H23" i="26" s="1"/>
  <c r="U23" i="25"/>
  <c r="C50" i="22"/>
  <c r="H57" i="21"/>
  <c r="H66" i="21"/>
  <c r="I60" i="21"/>
  <c r="G63" i="21"/>
  <c r="L59" i="21"/>
  <c r="H61" i="21"/>
  <c r="J59" i="21"/>
  <c r="N58" i="21"/>
  <c r="N58" i="19"/>
  <c r="C56" i="19"/>
  <c r="C23" i="27" l="1"/>
  <c r="H23" i="27" s="1"/>
  <c r="U23" i="27" s="1"/>
  <c r="U23" i="26"/>
  <c r="C18" i="27"/>
  <c r="H18" i="27" s="1"/>
  <c r="U18" i="27" s="1"/>
  <c r="U18" i="26"/>
  <c r="E40" i="27"/>
  <c r="E44" i="27" s="1"/>
  <c r="E44" i="26"/>
  <c r="E34" i="27"/>
  <c r="E38" i="27" s="1"/>
  <c r="E38" i="26"/>
  <c r="E29" i="27"/>
  <c r="E33" i="27" s="1"/>
  <c r="E33" i="26"/>
  <c r="E20" i="27"/>
  <c r="E24" i="27" s="1"/>
  <c r="E24" i="26"/>
  <c r="E12" i="27"/>
  <c r="E15" i="27" s="1"/>
  <c r="E15" i="26"/>
  <c r="G45" i="27"/>
  <c r="G49" i="27" s="1"/>
  <c r="G49" i="26"/>
  <c r="G40" i="27"/>
  <c r="G44" i="27" s="1"/>
  <c r="G44" i="26"/>
  <c r="G34" i="27"/>
  <c r="G38" i="27" s="1"/>
  <c r="G38" i="26"/>
  <c r="G29" i="27"/>
  <c r="G33" i="27" s="1"/>
  <c r="G33" i="26"/>
  <c r="G26" i="27"/>
  <c r="G28" i="27" s="1"/>
  <c r="G28" i="26"/>
  <c r="G20" i="27"/>
  <c r="G24" i="27" s="1"/>
  <c r="G24" i="26"/>
  <c r="G12" i="27"/>
  <c r="G15" i="27" s="1"/>
  <c r="G15" i="26"/>
  <c r="Q26" i="27"/>
  <c r="Q28" i="27" s="1"/>
  <c r="Q28" i="26"/>
  <c r="S16" i="27"/>
  <c r="S19" i="27" s="1"/>
  <c r="S19" i="26"/>
  <c r="I15" i="23"/>
  <c r="N12" i="23"/>
  <c r="C19" i="23"/>
  <c r="H16" i="23"/>
  <c r="C25" i="22"/>
  <c r="C51" i="22" s="1"/>
  <c r="K24" i="25"/>
  <c r="K25" i="24"/>
  <c r="K25" i="25" s="1"/>
  <c r="M49" i="25"/>
  <c r="M50" i="24"/>
  <c r="M50" i="25" s="1"/>
  <c r="M38" i="25"/>
  <c r="M39" i="24"/>
  <c r="M39" i="25" s="1"/>
  <c r="M24" i="25"/>
  <c r="M25" i="24"/>
  <c r="Q40" i="27"/>
  <c r="Q44" i="27" s="1"/>
  <c r="Q44" i="26"/>
  <c r="Q29" i="27"/>
  <c r="Q33" i="27" s="1"/>
  <c r="Q33" i="26"/>
  <c r="G16" i="27"/>
  <c r="G19" i="27" s="1"/>
  <c r="G19" i="26"/>
  <c r="S7" i="27"/>
  <c r="S11" i="27" s="1"/>
  <c r="S11" i="26"/>
  <c r="S45" i="27"/>
  <c r="S49" i="27" s="1"/>
  <c r="S49" i="26"/>
  <c r="S40" i="27"/>
  <c r="S44" i="27" s="1"/>
  <c r="S44" i="26"/>
  <c r="S34" i="27"/>
  <c r="S38" i="27" s="1"/>
  <c r="S38" i="26"/>
  <c r="S29" i="27"/>
  <c r="S33" i="27" s="1"/>
  <c r="S33" i="26"/>
  <c r="S20" i="27"/>
  <c r="S24" i="27" s="1"/>
  <c r="S24" i="26"/>
  <c r="S12" i="27"/>
  <c r="S15" i="27" s="1"/>
  <c r="S15" i="26"/>
  <c r="C34" i="23"/>
  <c r="U34" i="22"/>
  <c r="U38" i="22" s="1"/>
  <c r="H38" i="22"/>
  <c r="C41" i="27"/>
  <c r="H41" i="27" s="1"/>
  <c r="U41" i="27" s="1"/>
  <c r="U41" i="26"/>
  <c r="C35" i="27"/>
  <c r="H35" i="27" s="1"/>
  <c r="U35" i="27" s="1"/>
  <c r="U35" i="26"/>
  <c r="C13" i="27"/>
  <c r="H13" i="27" s="1"/>
  <c r="U13" i="27" s="1"/>
  <c r="U13" i="26"/>
  <c r="C48" i="27"/>
  <c r="H48" i="27" s="1"/>
  <c r="U48" i="27" s="1"/>
  <c r="U48" i="26"/>
  <c r="C46" i="27"/>
  <c r="H46" i="27" s="1"/>
  <c r="U46" i="27" s="1"/>
  <c r="U46" i="26"/>
  <c r="G25" i="24"/>
  <c r="N39" i="22"/>
  <c r="N51" i="22" s="1"/>
  <c r="N25" i="22"/>
  <c r="O11" i="23"/>
  <c r="T7" i="23"/>
  <c r="O44" i="23"/>
  <c r="T40" i="23"/>
  <c r="O38" i="23"/>
  <c r="T34" i="23"/>
  <c r="T39" i="22"/>
  <c r="T51" i="22" s="1"/>
  <c r="O24" i="23"/>
  <c r="T20" i="23"/>
  <c r="O15" i="23"/>
  <c r="T12" i="23"/>
  <c r="M16" i="27"/>
  <c r="M19" i="27" s="1"/>
  <c r="M19" i="26"/>
  <c r="Q12" i="27"/>
  <c r="Q15" i="27" s="1"/>
  <c r="Q15" i="26"/>
  <c r="C40" i="23"/>
  <c r="U40" i="22"/>
  <c r="U44" i="22" s="1"/>
  <c r="U50" i="22" s="1"/>
  <c r="H44" i="22"/>
  <c r="H50" i="22" s="1"/>
  <c r="C29" i="23"/>
  <c r="U29" i="22"/>
  <c r="U33" i="22" s="1"/>
  <c r="H33" i="22"/>
  <c r="C43" i="27"/>
  <c r="H43" i="27" s="1"/>
  <c r="U43" i="27" s="1"/>
  <c r="U43" i="26"/>
  <c r="C37" i="27"/>
  <c r="H37" i="27" s="1"/>
  <c r="U37" i="27" s="1"/>
  <c r="U37" i="26"/>
  <c r="C27" i="27"/>
  <c r="H27" i="27" s="1"/>
  <c r="U27" i="27" s="1"/>
  <c r="U27" i="26"/>
  <c r="C21" i="27"/>
  <c r="H21" i="27" s="1"/>
  <c r="U21" i="27" s="1"/>
  <c r="U21" i="26"/>
  <c r="C9" i="27"/>
  <c r="H9" i="27" s="1"/>
  <c r="U9" i="27" s="1"/>
  <c r="U9" i="26"/>
  <c r="C32" i="27"/>
  <c r="H32" i="27" s="1"/>
  <c r="U32" i="27" s="1"/>
  <c r="U32" i="26"/>
  <c r="C10" i="27"/>
  <c r="H10" i="27" s="1"/>
  <c r="U10" i="27" s="1"/>
  <c r="U10" i="26"/>
  <c r="H28" i="22"/>
  <c r="H39" i="22" s="1"/>
  <c r="C26" i="23"/>
  <c r="U26" i="22"/>
  <c r="U28" i="22" s="1"/>
  <c r="U39" i="22" s="1"/>
  <c r="E7" i="27"/>
  <c r="E11" i="27" s="1"/>
  <c r="E11" i="26"/>
  <c r="E45" i="27"/>
  <c r="E49" i="27" s="1"/>
  <c r="E49" i="26"/>
  <c r="E50" i="26" s="1"/>
  <c r="E26" i="27"/>
  <c r="E28" i="27" s="1"/>
  <c r="E28" i="26"/>
  <c r="K49" i="26"/>
  <c r="K45" i="27"/>
  <c r="K49" i="27" s="1"/>
  <c r="K34" i="27"/>
  <c r="K38" i="27" s="1"/>
  <c r="K38" i="26"/>
  <c r="K39" i="26" s="1"/>
  <c r="Q45" i="27"/>
  <c r="Q49" i="27" s="1"/>
  <c r="Q49" i="26"/>
  <c r="Q50" i="26" s="1"/>
  <c r="Q38" i="25"/>
  <c r="Q39" i="24"/>
  <c r="Q39" i="25" s="1"/>
  <c r="Q24" i="25"/>
  <c r="Q25" i="24"/>
  <c r="C30" i="27"/>
  <c r="H30" i="27" s="1"/>
  <c r="U30" i="27" s="1"/>
  <c r="U30" i="26"/>
  <c r="C14" i="26"/>
  <c r="H14" i="26" s="1"/>
  <c r="U14" i="25"/>
  <c r="E50" i="24"/>
  <c r="E44" i="25"/>
  <c r="E24" i="25"/>
  <c r="E25" i="24"/>
  <c r="E25" i="25" s="1"/>
  <c r="G49" i="25"/>
  <c r="G50" i="24"/>
  <c r="G50" i="25" s="1"/>
  <c r="G38" i="25"/>
  <c r="G39" i="24"/>
  <c r="G39" i="25" s="1"/>
  <c r="O16" i="24"/>
  <c r="T19" i="23"/>
  <c r="S26" i="27"/>
  <c r="S28" i="27" s="1"/>
  <c r="S28" i="26"/>
  <c r="C12" i="23"/>
  <c r="H15" i="22"/>
  <c r="U12" i="22"/>
  <c r="U15" i="22" s="1"/>
  <c r="I11" i="23"/>
  <c r="N7" i="23"/>
  <c r="C20" i="23"/>
  <c r="H24" i="22"/>
  <c r="H25" i="22" s="1"/>
  <c r="U20" i="22"/>
  <c r="U24" i="22" s="1"/>
  <c r="U25" i="22" s="1"/>
  <c r="U51" i="22" s="1"/>
  <c r="K7" i="27"/>
  <c r="K11" i="27" s="1"/>
  <c r="K11" i="26"/>
  <c r="K40" i="27"/>
  <c r="K44" i="27" s="1"/>
  <c r="K44" i="26"/>
  <c r="K26" i="27"/>
  <c r="K28" i="27" s="1"/>
  <c r="K28" i="26"/>
  <c r="K20" i="27"/>
  <c r="K24" i="27" s="1"/>
  <c r="K24" i="26"/>
  <c r="K15" i="26"/>
  <c r="K12" i="27"/>
  <c r="K15" i="27" s="1"/>
  <c r="M7" i="27"/>
  <c r="M11" i="27" s="1"/>
  <c r="M11" i="26"/>
  <c r="M45" i="27"/>
  <c r="M49" i="27" s="1"/>
  <c r="M49" i="26"/>
  <c r="M40" i="27"/>
  <c r="M44" i="27" s="1"/>
  <c r="M44" i="26"/>
  <c r="M34" i="27"/>
  <c r="M38" i="27" s="1"/>
  <c r="M38" i="26"/>
  <c r="M29" i="27"/>
  <c r="M33" i="27" s="1"/>
  <c r="M33" i="26"/>
  <c r="M26" i="27"/>
  <c r="M28" i="27" s="1"/>
  <c r="M28" i="26"/>
  <c r="M20" i="27"/>
  <c r="M24" i="27" s="1"/>
  <c r="M25" i="27" s="1"/>
  <c r="M24" i="26"/>
  <c r="M15" i="26"/>
  <c r="M25" i="26" s="1"/>
  <c r="M12" i="27"/>
  <c r="M15" i="27" s="1"/>
  <c r="E16" i="27"/>
  <c r="E19" i="27" s="1"/>
  <c r="E19" i="26"/>
  <c r="S49" i="25"/>
  <c r="S50" i="24"/>
  <c r="S38" i="25"/>
  <c r="S39" i="24"/>
  <c r="S39" i="25" s="1"/>
  <c r="S24" i="25"/>
  <c r="S25" i="24"/>
  <c r="S25" i="25" s="1"/>
  <c r="C49" i="23"/>
  <c r="H45" i="23"/>
  <c r="I49" i="23"/>
  <c r="I50" i="23" s="1"/>
  <c r="N45" i="23"/>
  <c r="N29" i="23"/>
  <c r="I33" i="23"/>
  <c r="C42" i="26"/>
  <c r="H42" i="26" s="1"/>
  <c r="U42" i="25"/>
  <c r="C36" i="26"/>
  <c r="H36" i="26" s="1"/>
  <c r="U36" i="25"/>
  <c r="C31" i="26"/>
  <c r="H31" i="26" s="1"/>
  <c r="U31" i="25"/>
  <c r="G51" i="23"/>
  <c r="H57" i="23" s="1"/>
  <c r="I44" i="23"/>
  <c r="N40" i="23"/>
  <c r="I38" i="23"/>
  <c r="N34" i="23"/>
  <c r="I28" i="23"/>
  <c r="N26" i="23"/>
  <c r="I24" i="23"/>
  <c r="N20" i="23"/>
  <c r="N16" i="23"/>
  <c r="I19" i="23"/>
  <c r="O49" i="23"/>
  <c r="O50" i="23" s="1"/>
  <c r="T45" i="23"/>
  <c r="O33" i="23"/>
  <c r="T29" i="23"/>
  <c r="C11" i="23"/>
  <c r="H7" i="23"/>
  <c r="O28" i="23"/>
  <c r="T26" i="23"/>
  <c r="K16" i="27"/>
  <c r="K19" i="27" s="1"/>
  <c r="K19" i="26"/>
  <c r="E39" i="24"/>
  <c r="E39" i="25" s="1"/>
  <c r="E28" i="25"/>
  <c r="K49" i="25"/>
  <c r="K50" i="24"/>
  <c r="K38" i="25"/>
  <c r="K39" i="24"/>
  <c r="K39" i="25" s="1"/>
  <c r="Q50" i="24"/>
  <c r="Q50" i="25" s="1"/>
  <c r="Q49" i="25"/>
  <c r="Q34" i="27"/>
  <c r="Q38" i="27" s="1"/>
  <c r="Q38" i="26"/>
  <c r="Q20" i="27"/>
  <c r="Q24" i="27" s="1"/>
  <c r="Q25" i="27" s="1"/>
  <c r="Q24" i="26"/>
  <c r="Q25" i="26" s="1"/>
  <c r="C22" i="26"/>
  <c r="H22" i="26" s="1"/>
  <c r="U22" i="25"/>
  <c r="C17" i="26"/>
  <c r="H17" i="26" s="1"/>
  <c r="U17" i="25"/>
  <c r="C47" i="26"/>
  <c r="H47" i="26" s="1"/>
  <c r="U47" i="25"/>
  <c r="H66" i="19"/>
  <c r="H57" i="19"/>
  <c r="Q50" i="27" l="1"/>
  <c r="E50" i="27"/>
  <c r="Q39" i="27"/>
  <c r="Q51" i="27" s="1"/>
  <c r="H51" i="22"/>
  <c r="H58" i="22" s="1"/>
  <c r="C47" i="27"/>
  <c r="H47" i="27" s="1"/>
  <c r="U47" i="27" s="1"/>
  <c r="U47" i="26"/>
  <c r="C17" i="27"/>
  <c r="H17" i="27" s="1"/>
  <c r="U17" i="27" s="1"/>
  <c r="U17" i="26"/>
  <c r="C22" i="27"/>
  <c r="H22" i="27" s="1"/>
  <c r="U22" i="27" s="1"/>
  <c r="U22" i="26"/>
  <c r="I16" i="24"/>
  <c r="N19" i="23"/>
  <c r="I25" i="23"/>
  <c r="I39" i="23"/>
  <c r="N49" i="23"/>
  <c r="I45" i="24"/>
  <c r="H49" i="23"/>
  <c r="C45" i="24"/>
  <c r="U45" i="23"/>
  <c r="U49" i="23" s="1"/>
  <c r="S50" i="25"/>
  <c r="S51" i="24"/>
  <c r="S51" i="25" s="1"/>
  <c r="M39" i="26"/>
  <c r="M50" i="26"/>
  <c r="C24" i="23"/>
  <c r="H20" i="23"/>
  <c r="K39" i="27"/>
  <c r="K50" i="26"/>
  <c r="K51" i="26" s="1"/>
  <c r="C28" i="23"/>
  <c r="H26" i="23"/>
  <c r="C44" i="23"/>
  <c r="H40" i="23"/>
  <c r="O25" i="23"/>
  <c r="T38" i="23"/>
  <c r="O34" i="24"/>
  <c r="O40" i="24"/>
  <c r="T44" i="23"/>
  <c r="O7" i="24"/>
  <c r="T11" i="23"/>
  <c r="H34" i="23"/>
  <c r="C38" i="23"/>
  <c r="S25" i="27"/>
  <c r="S39" i="27"/>
  <c r="S50" i="27"/>
  <c r="S51" i="27" s="1"/>
  <c r="G25" i="27"/>
  <c r="G39" i="27"/>
  <c r="G50" i="27"/>
  <c r="E25" i="27"/>
  <c r="E39" i="27"/>
  <c r="K50" i="25"/>
  <c r="K51" i="24"/>
  <c r="T28" i="23"/>
  <c r="O26" i="24"/>
  <c r="C7" i="24"/>
  <c r="U7" i="23"/>
  <c r="U11" i="23" s="1"/>
  <c r="H11" i="23"/>
  <c r="O29" i="24"/>
  <c r="T33" i="23"/>
  <c r="T49" i="23"/>
  <c r="T50" i="23" s="1"/>
  <c r="O45" i="24"/>
  <c r="N24" i="23"/>
  <c r="I20" i="24"/>
  <c r="I26" i="24"/>
  <c r="N28" i="23"/>
  <c r="N38" i="23"/>
  <c r="I34" i="24"/>
  <c r="I40" i="24"/>
  <c r="N44" i="23"/>
  <c r="C31" i="27"/>
  <c r="H31" i="27" s="1"/>
  <c r="U31" i="27" s="1"/>
  <c r="U31" i="26"/>
  <c r="C36" i="27"/>
  <c r="H36" i="27" s="1"/>
  <c r="U36" i="27" s="1"/>
  <c r="U36" i="26"/>
  <c r="C42" i="27"/>
  <c r="H42" i="27" s="1"/>
  <c r="U42" i="27" s="1"/>
  <c r="U42" i="26"/>
  <c r="I29" i="24"/>
  <c r="N33" i="23"/>
  <c r="N39" i="23" s="1"/>
  <c r="I51" i="23"/>
  <c r="C50" i="23"/>
  <c r="M51" i="26"/>
  <c r="M39" i="27"/>
  <c r="M50" i="27"/>
  <c r="K25" i="26"/>
  <c r="K25" i="27"/>
  <c r="N11" i="23"/>
  <c r="I7" i="24"/>
  <c r="C15" i="23"/>
  <c r="H12" i="23"/>
  <c r="O19" i="24"/>
  <c r="T16" i="24"/>
  <c r="E50" i="25"/>
  <c r="E51" i="24"/>
  <c r="E51" i="25" s="1"/>
  <c r="C14" i="27"/>
  <c r="H14" i="27" s="1"/>
  <c r="U14" i="27" s="1"/>
  <c r="U14" i="26"/>
  <c r="Q51" i="24"/>
  <c r="Q51" i="25" s="1"/>
  <c r="Q25" i="25"/>
  <c r="K50" i="27"/>
  <c r="C33" i="23"/>
  <c r="C39" i="23" s="1"/>
  <c r="H29" i="23"/>
  <c r="O12" i="24"/>
  <c r="T15" i="23"/>
  <c r="T24" i="23"/>
  <c r="O20" i="24"/>
  <c r="O39" i="23"/>
  <c r="O51" i="23" s="1"/>
  <c r="G51" i="24"/>
  <c r="G51" i="25" s="1"/>
  <c r="G25" i="25"/>
  <c r="S25" i="26"/>
  <c r="S39" i="26"/>
  <c r="S50" i="26"/>
  <c r="S51" i="26" s="1"/>
  <c r="Q39" i="26"/>
  <c r="Q51" i="26" s="1"/>
  <c r="M51" i="24"/>
  <c r="M51" i="25" s="1"/>
  <c r="M25" i="25"/>
  <c r="C16" i="24"/>
  <c r="H19" i="23"/>
  <c r="U16" i="23"/>
  <c r="U19" i="23" s="1"/>
  <c r="N15" i="23"/>
  <c r="I12" i="24"/>
  <c r="G25" i="26"/>
  <c r="G39" i="26"/>
  <c r="G50" i="26"/>
  <c r="E25" i="26"/>
  <c r="E39" i="26"/>
  <c r="C56" i="22"/>
  <c r="L59" i="19"/>
  <c r="G63" i="19"/>
  <c r="H61" i="19"/>
  <c r="I60" i="19"/>
  <c r="H58" i="19"/>
  <c r="E51" i="27" l="1"/>
  <c r="K51" i="27"/>
  <c r="I15" i="24"/>
  <c r="N12" i="24"/>
  <c r="C19" i="24"/>
  <c r="H16" i="24"/>
  <c r="M60" i="27"/>
  <c r="M60" i="26"/>
  <c r="M60" i="25"/>
  <c r="M60" i="24"/>
  <c r="M60" i="23"/>
  <c r="M60" i="22"/>
  <c r="M60" i="21"/>
  <c r="E51" i="26"/>
  <c r="H57" i="26" s="1"/>
  <c r="G51" i="26"/>
  <c r="T25" i="23"/>
  <c r="O15" i="24"/>
  <c r="T12" i="24"/>
  <c r="O16" i="25"/>
  <c r="T16" i="25" s="1"/>
  <c r="T19" i="24"/>
  <c r="O19" i="25" s="1"/>
  <c r="C12" i="24"/>
  <c r="H15" i="23"/>
  <c r="U12" i="23"/>
  <c r="U15" i="23" s="1"/>
  <c r="I11" i="24"/>
  <c r="N7" i="24"/>
  <c r="M51" i="27"/>
  <c r="I33" i="24"/>
  <c r="N29" i="24"/>
  <c r="I44" i="24"/>
  <c r="N40" i="24"/>
  <c r="I28" i="24"/>
  <c r="N26" i="24"/>
  <c r="N25" i="23"/>
  <c r="O33" i="24"/>
  <c r="T29" i="24"/>
  <c r="O28" i="24"/>
  <c r="T26" i="24"/>
  <c r="H57" i="24"/>
  <c r="K51" i="25"/>
  <c r="H57" i="25" s="1"/>
  <c r="G51" i="27"/>
  <c r="T34" i="24"/>
  <c r="O38" i="24"/>
  <c r="O39" i="24" s="1"/>
  <c r="C25" i="23"/>
  <c r="C49" i="24"/>
  <c r="H45" i="24"/>
  <c r="I49" i="24"/>
  <c r="I50" i="24" s="1"/>
  <c r="N45" i="24"/>
  <c r="N16" i="24"/>
  <c r="I19" i="24"/>
  <c r="O24" i="24"/>
  <c r="T20" i="24"/>
  <c r="C29" i="24"/>
  <c r="H33" i="23"/>
  <c r="U29" i="23"/>
  <c r="U33" i="23" s="1"/>
  <c r="C51" i="23"/>
  <c r="I38" i="24"/>
  <c r="I39" i="24" s="1"/>
  <c r="N34" i="24"/>
  <c r="I24" i="24"/>
  <c r="I25" i="24" s="1"/>
  <c r="N20" i="24"/>
  <c r="O49" i="24"/>
  <c r="O50" i="24" s="1"/>
  <c r="T45" i="24"/>
  <c r="C11" i="24"/>
  <c r="H7" i="24"/>
  <c r="C34" i="24"/>
  <c r="U34" i="23"/>
  <c r="U38" i="23" s="1"/>
  <c r="H38" i="23"/>
  <c r="T7" i="24"/>
  <c r="O11" i="24"/>
  <c r="O44" i="24"/>
  <c r="T40" i="24"/>
  <c r="T39" i="23"/>
  <c r="T51" i="23" s="1"/>
  <c r="H44" i="23"/>
  <c r="C40" i="24"/>
  <c r="U40" i="23"/>
  <c r="U44" i="23" s="1"/>
  <c r="U50" i="23" s="1"/>
  <c r="H28" i="23"/>
  <c r="C26" i="24"/>
  <c r="U26" i="23"/>
  <c r="U28" i="23" s="1"/>
  <c r="H24" i="23"/>
  <c r="H25" i="23" s="1"/>
  <c r="C20" i="24"/>
  <c r="U20" i="23"/>
  <c r="U24" i="23" s="1"/>
  <c r="U25" i="23" s="1"/>
  <c r="H50" i="23"/>
  <c r="N50" i="23"/>
  <c r="N51" i="23" s="1"/>
  <c r="K28" i="17"/>
  <c r="O28" i="17"/>
  <c r="N28" i="17"/>
  <c r="H16" i="17"/>
  <c r="H17" i="17" s="1"/>
  <c r="H18" i="17" s="1"/>
  <c r="H19" i="17" s="1"/>
  <c r="H20" i="17" s="1"/>
  <c r="H21" i="17" s="1"/>
  <c r="H22" i="17" s="1"/>
  <c r="H23" i="17" s="1"/>
  <c r="H24" i="17" s="1"/>
  <c r="H25" i="17" s="1"/>
  <c r="P16" i="17"/>
  <c r="P17" i="17" s="1"/>
  <c r="P18" i="17" s="1"/>
  <c r="P19" i="17" s="1"/>
  <c r="P20" i="17" s="1"/>
  <c r="P21" i="17" s="1"/>
  <c r="P22" i="17" s="1"/>
  <c r="P23" i="17" s="1"/>
  <c r="P24" i="17" s="1"/>
  <c r="P25" i="17" s="1"/>
  <c r="L16" i="17"/>
  <c r="L17" i="17" s="1"/>
  <c r="L18" i="17" s="1"/>
  <c r="L19" i="17" s="1"/>
  <c r="L20" i="17" s="1"/>
  <c r="L21" i="17" s="1"/>
  <c r="L22" i="17" s="1"/>
  <c r="L23" i="17" s="1"/>
  <c r="L24" i="17" s="1"/>
  <c r="L25" i="17" s="1"/>
  <c r="H57" i="27" l="1"/>
  <c r="C24" i="24"/>
  <c r="H20" i="24"/>
  <c r="C44" i="24"/>
  <c r="H40" i="24"/>
  <c r="O7" i="25"/>
  <c r="T7" i="25" s="1"/>
  <c r="T11" i="24"/>
  <c r="O11" i="25" s="1"/>
  <c r="U39" i="23"/>
  <c r="U51" i="23" s="1"/>
  <c r="C7" i="25"/>
  <c r="H7" i="25" s="1"/>
  <c r="U7" i="24"/>
  <c r="U11" i="24" s="1"/>
  <c r="H11" i="24"/>
  <c r="T49" i="24"/>
  <c r="O45" i="25"/>
  <c r="T45" i="25" s="1"/>
  <c r="N24" i="24"/>
  <c r="I24" i="25" s="1"/>
  <c r="I20" i="25"/>
  <c r="N20" i="25" s="1"/>
  <c r="I34" i="25"/>
  <c r="N34" i="25" s="1"/>
  <c r="N38" i="24"/>
  <c r="H39" i="23"/>
  <c r="T24" i="24"/>
  <c r="O20" i="25"/>
  <c r="T20" i="25" s="1"/>
  <c r="I45" i="25"/>
  <c r="N45" i="25" s="1"/>
  <c r="N49" i="24"/>
  <c r="H49" i="24"/>
  <c r="C45" i="25"/>
  <c r="H45" i="25" s="1"/>
  <c r="U45" i="24"/>
  <c r="U49" i="24" s="1"/>
  <c r="O34" i="25"/>
  <c r="T34" i="25" s="1"/>
  <c r="T38" i="24"/>
  <c r="O26" i="25"/>
  <c r="T26" i="25" s="1"/>
  <c r="T28" i="24"/>
  <c r="O28" i="25" s="1"/>
  <c r="O29" i="25"/>
  <c r="T29" i="25" s="1"/>
  <c r="T33" i="24"/>
  <c r="O33" i="25" s="1"/>
  <c r="I26" i="25"/>
  <c r="N26" i="25" s="1"/>
  <c r="N28" i="24"/>
  <c r="I28" i="25" s="1"/>
  <c r="I40" i="25"/>
  <c r="N40" i="25" s="1"/>
  <c r="N44" i="24"/>
  <c r="I44" i="25" s="1"/>
  <c r="I29" i="25"/>
  <c r="N29" i="25" s="1"/>
  <c r="N33" i="24"/>
  <c r="I33" i="25" s="1"/>
  <c r="H51" i="23"/>
  <c r="H58" i="23" s="1"/>
  <c r="C28" i="24"/>
  <c r="H26" i="24"/>
  <c r="O40" i="25"/>
  <c r="T40" i="25" s="1"/>
  <c r="T44" i="24"/>
  <c r="O44" i="25" s="1"/>
  <c r="C38" i="24"/>
  <c r="C39" i="24" s="1"/>
  <c r="H34" i="24"/>
  <c r="O51" i="24"/>
  <c r="C33" i="24"/>
  <c r="H29" i="24"/>
  <c r="O25" i="24"/>
  <c r="N19" i="24"/>
  <c r="I19" i="25" s="1"/>
  <c r="I16" i="25"/>
  <c r="N16" i="25" s="1"/>
  <c r="I51" i="24"/>
  <c r="C50" i="24"/>
  <c r="I7" i="25"/>
  <c r="N7" i="25" s="1"/>
  <c r="N11" i="24"/>
  <c r="C15" i="24"/>
  <c r="H12" i="24"/>
  <c r="T19" i="25"/>
  <c r="O16" i="26"/>
  <c r="T15" i="24"/>
  <c r="O15" i="25" s="1"/>
  <c r="O12" i="25"/>
  <c r="T12" i="25" s="1"/>
  <c r="H19" i="24"/>
  <c r="C19" i="25" s="1"/>
  <c r="C16" i="25"/>
  <c r="H16" i="25" s="1"/>
  <c r="U16" i="24"/>
  <c r="U19" i="24" s="1"/>
  <c r="I12" i="25"/>
  <c r="N12" i="25" s="1"/>
  <c r="N15" i="24"/>
  <c r="I15" i="25" s="1"/>
  <c r="P26" i="17"/>
  <c r="P27" i="17" s="1"/>
  <c r="J28" i="17"/>
  <c r="L32" i="17" s="1"/>
  <c r="G28" i="17"/>
  <c r="H32" i="17" s="1"/>
  <c r="P32" i="17"/>
  <c r="H37" i="17" l="1"/>
  <c r="N15" i="25"/>
  <c r="I12" i="26"/>
  <c r="C16" i="26"/>
  <c r="H19" i="25"/>
  <c r="U16" i="25"/>
  <c r="U19" i="25" s="1"/>
  <c r="O12" i="26"/>
  <c r="T15" i="25"/>
  <c r="O19" i="26"/>
  <c r="T16" i="26"/>
  <c r="C12" i="25"/>
  <c r="H12" i="25" s="1"/>
  <c r="H15" i="24"/>
  <c r="C15" i="25" s="1"/>
  <c r="U12" i="24"/>
  <c r="U15" i="24" s="1"/>
  <c r="N25" i="24"/>
  <c r="I25" i="25" s="1"/>
  <c r="I11" i="25"/>
  <c r="N19" i="25"/>
  <c r="I16" i="26"/>
  <c r="H38" i="24"/>
  <c r="C34" i="25"/>
  <c r="H34" i="25" s="1"/>
  <c r="U34" i="24"/>
  <c r="U38" i="24" s="1"/>
  <c r="C26" i="25"/>
  <c r="H26" i="25" s="1"/>
  <c r="H28" i="24"/>
  <c r="C28" i="25" s="1"/>
  <c r="U26" i="24"/>
  <c r="U28" i="24" s="1"/>
  <c r="I29" i="26"/>
  <c r="N33" i="25"/>
  <c r="I40" i="26"/>
  <c r="N44" i="25"/>
  <c r="I26" i="26"/>
  <c r="N28" i="25"/>
  <c r="O29" i="26"/>
  <c r="T33" i="25"/>
  <c r="O26" i="26"/>
  <c r="T28" i="25"/>
  <c r="T38" i="25"/>
  <c r="O34" i="26"/>
  <c r="C45" i="26"/>
  <c r="H49" i="25"/>
  <c r="U45" i="25"/>
  <c r="U49" i="25" s="1"/>
  <c r="I49" i="25"/>
  <c r="N50" i="24"/>
  <c r="O20" i="26"/>
  <c r="T24" i="25"/>
  <c r="N38" i="25"/>
  <c r="I34" i="26"/>
  <c r="T50" i="24"/>
  <c r="O50" i="25" s="1"/>
  <c r="O49" i="25"/>
  <c r="T11" i="25"/>
  <c r="O7" i="26"/>
  <c r="C25" i="24"/>
  <c r="C51" i="24" s="1"/>
  <c r="N11" i="25"/>
  <c r="I7" i="26"/>
  <c r="C29" i="25"/>
  <c r="H29" i="25" s="1"/>
  <c r="U29" i="24"/>
  <c r="U33" i="24" s="1"/>
  <c r="H33" i="24"/>
  <c r="C33" i="25" s="1"/>
  <c r="O40" i="26"/>
  <c r="T44" i="25"/>
  <c r="O38" i="25"/>
  <c r="T39" i="24"/>
  <c r="O39" i="25" s="1"/>
  <c r="C49" i="25"/>
  <c r="I45" i="26"/>
  <c r="N49" i="25"/>
  <c r="O24" i="25"/>
  <c r="T25" i="24"/>
  <c r="I38" i="25"/>
  <c r="N39" i="24"/>
  <c r="I39" i="25" s="1"/>
  <c r="N24" i="25"/>
  <c r="N25" i="25" s="1"/>
  <c r="I20" i="26"/>
  <c r="T49" i="25"/>
  <c r="T50" i="25" s="1"/>
  <c r="O45" i="26"/>
  <c r="C11" i="25"/>
  <c r="C7" i="26"/>
  <c r="H11" i="25"/>
  <c r="U7" i="25"/>
  <c r="U11" i="25" s="1"/>
  <c r="H44" i="24"/>
  <c r="C44" i="25" s="1"/>
  <c r="C40" i="25"/>
  <c r="H40" i="25" s="1"/>
  <c r="U40" i="24"/>
  <c r="U44" i="24" s="1"/>
  <c r="U50" i="24" s="1"/>
  <c r="C20" i="25"/>
  <c r="H20" i="25" s="1"/>
  <c r="U20" i="24"/>
  <c r="U24" i="24" s="1"/>
  <c r="U25" i="24" s="1"/>
  <c r="H24" i="24"/>
  <c r="C24" i="25" s="1"/>
  <c r="G32" i="17"/>
  <c r="F32" i="17"/>
  <c r="F37" i="17" s="1"/>
  <c r="H26" i="17"/>
  <c r="H27" i="17" s="1"/>
  <c r="L26" i="17"/>
  <c r="L27" i="17" s="1"/>
  <c r="C20" i="26" l="1"/>
  <c r="H24" i="25"/>
  <c r="U20" i="25"/>
  <c r="U24" i="25" s="1"/>
  <c r="C40" i="26"/>
  <c r="U40" i="25"/>
  <c r="U44" i="25" s="1"/>
  <c r="H44" i="25"/>
  <c r="H7" i="26"/>
  <c r="C11" i="26"/>
  <c r="H25" i="24"/>
  <c r="C25" i="25" s="1"/>
  <c r="I49" i="26"/>
  <c r="N45" i="26"/>
  <c r="C29" i="26"/>
  <c r="H33" i="25"/>
  <c r="U29" i="25"/>
  <c r="U33" i="25" s="1"/>
  <c r="O11" i="26"/>
  <c r="T7" i="26"/>
  <c r="I38" i="26"/>
  <c r="N34" i="26"/>
  <c r="T25" i="25"/>
  <c r="I50" i="25"/>
  <c r="N51" i="24"/>
  <c r="I51" i="25" s="1"/>
  <c r="U50" i="25"/>
  <c r="H45" i="26"/>
  <c r="C49" i="26"/>
  <c r="T39" i="25"/>
  <c r="O28" i="26"/>
  <c r="T26" i="26"/>
  <c r="O33" i="26"/>
  <c r="T29" i="26"/>
  <c r="I28" i="26"/>
  <c r="N26" i="26"/>
  <c r="I44" i="26"/>
  <c r="N40" i="26"/>
  <c r="I33" i="26"/>
  <c r="N29" i="26"/>
  <c r="U39" i="24"/>
  <c r="U51" i="24" s="1"/>
  <c r="C38" i="25"/>
  <c r="H39" i="24"/>
  <c r="C39" i="25" s="1"/>
  <c r="C12" i="26"/>
  <c r="U12" i="25"/>
  <c r="U15" i="25" s="1"/>
  <c r="H15" i="25"/>
  <c r="O15" i="26"/>
  <c r="T12" i="26"/>
  <c r="I15" i="26"/>
  <c r="N12" i="26"/>
  <c r="O49" i="26"/>
  <c r="O50" i="26" s="1"/>
  <c r="T45" i="26"/>
  <c r="I24" i="26"/>
  <c r="N20" i="26"/>
  <c r="T51" i="24"/>
  <c r="O51" i="25" s="1"/>
  <c r="O25" i="25"/>
  <c r="H50" i="24"/>
  <c r="O44" i="26"/>
  <c r="T40" i="26"/>
  <c r="I11" i="26"/>
  <c r="N7" i="26"/>
  <c r="O24" i="26"/>
  <c r="O25" i="26" s="1"/>
  <c r="T20" i="26"/>
  <c r="H50" i="25"/>
  <c r="O38" i="26"/>
  <c r="O39" i="26" s="1"/>
  <c r="T34" i="26"/>
  <c r="N50" i="25"/>
  <c r="N51" i="25" s="1"/>
  <c r="N39" i="25"/>
  <c r="C26" i="26"/>
  <c r="U26" i="25"/>
  <c r="U28" i="25" s="1"/>
  <c r="H28" i="25"/>
  <c r="C34" i="26"/>
  <c r="H38" i="25"/>
  <c r="H39" i="25" s="1"/>
  <c r="U34" i="25"/>
  <c r="U38" i="25" s="1"/>
  <c r="U39" i="25" s="1"/>
  <c r="I19" i="26"/>
  <c r="N16" i="26"/>
  <c r="O16" i="27"/>
  <c r="T19" i="26"/>
  <c r="C19" i="26"/>
  <c r="H16" i="26"/>
  <c r="Q52" i="19"/>
  <c r="Q53" i="19"/>
  <c r="E52" i="19"/>
  <c r="E53" i="19"/>
  <c r="O19" i="27" l="1"/>
  <c r="T16" i="27"/>
  <c r="T19" i="27" s="1"/>
  <c r="C16" i="27"/>
  <c r="U16" i="26"/>
  <c r="H19" i="26"/>
  <c r="U19" i="26" s="1"/>
  <c r="I16" i="27"/>
  <c r="N19" i="26"/>
  <c r="H34" i="26"/>
  <c r="C38" i="26"/>
  <c r="O34" i="27"/>
  <c r="T38" i="26"/>
  <c r="I20" i="27"/>
  <c r="N24" i="26"/>
  <c r="O45" i="27"/>
  <c r="T49" i="26"/>
  <c r="N15" i="26"/>
  <c r="I12" i="27"/>
  <c r="O12" i="27"/>
  <c r="T15" i="26"/>
  <c r="C15" i="26"/>
  <c r="H12" i="26"/>
  <c r="I29" i="27"/>
  <c r="N33" i="26"/>
  <c r="I40" i="27"/>
  <c r="N44" i="26"/>
  <c r="I26" i="27"/>
  <c r="N28" i="26"/>
  <c r="O29" i="27"/>
  <c r="T33" i="26"/>
  <c r="O26" i="27"/>
  <c r="T28" i="26"/>
  <c r="C45" i="27"/>
  <c r="U45" i="26"/>
  <c r="H49" i="26"/>
  <c r="T51" i="25"/>
  <c r="I39" i="26"/>
  <c r="N49" i="26"/>
  <c r="N50" i="26" s="1"/>
  <c r="I45" i="27"/>
  <c r="C7" i="27"/>
  <c r="H11" i="26"/>
  <c r="U7" i="26"/>
  <c r="U25" i="25"/>
  <c r="C24" i="26"/>
  <c r="C25" i="26" s="1"/>
  <c r="H20" i="26"/>
  <c r="H26" i="26"/>
  <c r="C28" i="26"/>
  <c r="O20" i="27"/>
  <c r="T24" i="26"/>
  <c r="T25" i="26" s="1"/>
  <c r="I7" i="27"/>
  <c r="N11" i="26"/>
  <c r="O40" i="27"/>
  <c r="T44" i="26"/>
  <c r="C50" i="25"/>
  <c r="H51" i="24"/>
  <c r="I25" i="26"/>
  <c r="O51" i="26"/>
  <c r="U51" i="25"/>
  <c r="I34" i="27"/>
  <c r="N38" i="26"/>
  <c r="O7" i="27"/>
  <c r="T11" i="26"/>
  <c r="C33" i="26"/>
  <c r="H29" i="26"/>
  <c r="I50" i="26"/>
  <c r="I51" i="26" s="1"/>
  <c r="C44" i="26"/>
  <c r="C50" i="26" s="1"/>
  <c r="H40" i="26"/>
  <c r="H25" i="25"/>
  <c r="H51" i="25" s="1"/>
  <c r="H58" i="25" s="1"/>
  <c r="G53" i="19"/>
  <c r="M53" i="19"/>
  <c r="G52" i="19"/>
  <c r="M52" i="19"/>
  <c r="C40" i="27" l="1"/>
  <c r="U40" i="26"/>
  <c r="H44" i="26"/>
  <c r="U44" i="26" s="1"/>
  <c r="O11" i="27"/>
  <c r="T7" i="27"/>
  <c r="T11" i="27" s="1"/>
  <c r="I38" i="27"/>
  <c r="N34" i="27"/>
  <c r="N38" i="27" s="1"/>
  <c r="O44" i="27"/>
  <c r="T40" i="27"/>
  <c r="T44" i="27" s="1"/>
  <c r="I11" i="27"/>
  <c r="N7" i="27"/>
  <c r="N11" i="27" s="1"/>
  <c r="O24" i="27"/>
  <c r="T20" i="27"/>
  <c r="T24" i="27" s="1"/>
  <c r="C26" i="27"/>
  <c r="U26" i="26"/>
  <c r="H28" i="26"/>
  <c r="U28" i="26" s="1"/>
  <c r="C11" i="27"/>
  <c r="H7" i="27"/>
  <c r="T39" i="26"/>
  <c r="N39" i="26"/>
  <c r="C12" i="27"/>
  <c r="U12" i="26"/>
  <c r="H15" i="26"/>
  <c r="U15" i="26" s="1"/>
  <c r="I15" i="27"/>
  <c r="N12" i="27"/>
  <c r="N15" i="27" s="1"/>
  <c r="T50" i="26"/>
  <c r="T51" i="26" s="1"/>
  <c r="C39" i="26"/>
  <c r="C51" i="26" s="1"/>
  <c r="C29" i="27"/>
  <c r="U29" i="26"/>
  <c r="H33" i="26"/>
  <c r="C51" i="25"/>
  <c r="H58" i="24"/>
  <c r="C20" i="27"/>
  <c r="U20" i="26"/>
  <c r="H24" i="26"/>
  <c r="U11" i="26"/>
  <c r="N45" i="27"/>
  <c r="N49" i="27" s="1"/>
  <c r="I49" i="27"/>
  <c r="U49" i="26"/>
  <c r="H50" i="26"/>
  <c r="U50" i="26" s="1"/>
  <c r="C49" i="27"/>
  <c r="O28" i="27"/>
  <c r="T26" i="27"/>
  <c r="T28" i="27" s="1"/>
  <c r="O33" i="27"/>
  <c r="T29" i="27"/>
  <c r="T33" i="27" s="1"/>
  <c r="I28" i="27"/>
  <c r="N26" i="27"/>
  <c r="N28" i="27" s="1"/>
  <c r="I44" i="27"/>
  <c r="N40" i="27"/>
  <c r="N44" i="27" s="1"/>
  <c r="I33" i="27"/>
  <c r="N29" i="27"/>
  <c r="N33" i="27" s="1"/>
  <c r="O15" i="27"/>
  <c r="T12" i="27"/>
  <c r="T15" i="27" s="1"/>
  <c r="N25" i="26"/>
  <c r="O49" i="27"/>
  <c r="O50" i="27" s="1"/>
  <c r="T45" i="27"/>
  <c r="T49" i="27" s="1"/>
  <c r="T50" i="27" s="1"/>
  <c r="I24" i="27"/>
  <c r="N20" i="27"/>
  <c r="N24" i="27" s="1"/>
  <c r="O38" i="27"/>
  <c r="O39" i="27" s="1"/>
  <c r="T34" i="27"/>
  <c r="T38" i="27" s="1"/>
  <c r="C34" i="27"/>
  <c r="U34" i="26"/>
  <c r="H38" i="26"/>
  <c r="U38" i="26" s="1"/>
  <c r="I19" i="27"/>
  <c r="N16" i="27"/>
  <c r="N19" i="27" s="1"/>
  <c r="C19" i="27"/>
  <c r="H16" i="27"/>
  <c r="J59" i="19"/>
  <c r="T39" i="27" l="1"/>
  <c r="N25" i="27"/>
  <c r="N50" i="27"/>
  <c r="U24" i="26"/>
  <c r="H25" i="26"/>
  <c r="U25" i="26" s="1"/>
  <c r="C24" i="27"/>
  <c r="H20" i="27"/>
  <c r="C15" i="27"/>
  <c r="H12" i="27"/>
  <c r="T25" i="27"/>
  <c r="N39" i="27"/>
  <c r="C44" i="27"/>
  <c r="C50" i="27" s="1"/>
  <c r="H40" i="27"/>
  <c r="H19" i="27"/>
  <c r="U16" i="27"/>
  <c r="U19" i="27" s="1"/>
  <c r="C38" i="27"/>
  <c r="H34" i="27"/>
  <c r="I25" i="27"/>
  <c r="H49" i="27"/>
  <c r="U45" i="27"/>
  <c r="U49" i="27" s="1"/>
  <c r="I50" i="27"/>
  <c r="H39" i="26"/>
  <c r="U33" i="26"/>
  <c r="C33" i="27"/>
  <c r="H29" i="27"/>
  <c r="N51" i="26"/>
  <c r="H11" i="27"/>
  <c r="U7" i="27"/>
  <c r="U11" i="27" s="1"/>
  <c r="C28" i="27"/>
  <c r="H26" i="27"/>
  <c r="O25" i="27"/>
  <c r="O51" i="27" s="1"/>
  <c r="I39" i="27"/>
  <c r="T51" i="27" l="1"/>
  <c r="H28" i="27"/>
  <c r="U26" i="27"/>
  <c r="U28" i="27" s="1"/>
  <c r="H51" i="26"/>
  <c r="U39" i="26"/>
  <c r="H38" i="27"/>
  <c r="U34" i="27"/>
  <c r="U38" i="27" s="1"/>
  <c r="U40" i="27"/>
  <c r="U44" i="27" s="1"/>
  <c r="U50" i="27" s="1"/>
  <c r="H44" i="27"/>
  <c r="H50" i="27" s="1"/>
  <c r="H15" i="27"/>
  <c r="U12" i="27"/>
  <c r="U15" i="27" s="1"/>
  <c r="H24" i="27"/>
  <c r="H25" i="27" s="1"/>
  <c r="U20" i="27"/>
  <c r="U24" i="27" s="1"/>
  <c r="U25" i="27" s="1"/>
  <c r="N51" i="27"/>
  <c r="H33" i="27"/>
  <c r="U29" i="27"/>
  <c r="U33" i="27" s="1"/>
  <c r="I51" i="27"/>
  <c r="C39" i="27"/>
  <c r="C25" i="27"/>
  <c r="C51" i="27" s="1"/>
  <c r="H39" i="27" l="1"/>
  <c r="H51" i="27" s="1"/>
  <c r="H58" i="27" s="1"/>
  <c r="U39" i="27"/>
  <c r="U51" i="27" s="1"/>
  <c r="U51" i="26"/>
  <c r="H58" i="26"/>
</calcChain>
</file>

<file path=xl/sharedStrings.xml><?xml version="1.0" encoding="utf-8"?>
<sst xmlns="http://schemas.openxmlformats.org/spreadsheetml/2006/main" count="973" uniqueCount="85">
  <si>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</si>
  <si>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</si>
  <si>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</si>
  <si>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</si>
  <si>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</si>
  <si>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</si>
  <si>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 xml:space="preserve">OB </t>
  </si>
  <si>
    <t>Added During</t>
  </si>
  <si>
    <t>Dismantled during</t>
  </si>
  <si>
    <t>CB</t>
  </si>
  <si>
    <t>OB</t>
  </si>
  <si>
    <t>Total</t>
  </si>
  <si>
    <t>Month</t>
  </si>
  <si>
    <t>Year</t>
  </si>
  <si>
    <t>Indiranagar</t>
  </si>
  <si>
    <t>Whitefield</t>
  </si>
  <si>
    <t>Shivajinagar</t>
  </si>
  <si>
    <t>Vidhana Soudha</t>
  </si>
  <si>
    <t>East Circle</t>
  </si>
  <si>
    <t>Jayanagar</t>
  </si>
  <si>
    <t>Koramangala</t>
  </si>
  <si>
    <t>HSR</t>
  </si>
  <si>
    <t xml:space="preserve"> 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</si>
  <si>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</si>
  <si>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</si>
  <si>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</si>
  <si>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</si>
  <si>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</si>
  <si>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</si>
  <si>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</si>
  <si>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</si>
  <si>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>Jalahalli</t>
  </si>
  <si>
    <t xml:space="preserve">North Circle  </t>
  </si>
  <si>
    <t xml:space="preserve">BMAZ TOTAL </t>
  </si>
  <si>
    <t>Nelamangala</t>
  </si>
  <si>
    <t>BRC Circle</t>
  </si>
  <si>
    <t xml:space="preserve">Ramnagara </t>
  </si>
  <si>
    <t>Magadi</t>
  </si>
  <si>
    <t>Kanakapura</t>
  </si>
  <si>
    <t>Chandapura</t>
  </si>
  <si>
    <t xml:space="preserve">Kolar </t>
  </si>
  <si>
    <t>KGF</t>
  </si>
  <si>
    <t>C.B.Pura</t>
  </si>
  <si>
    <t>Chinthamani</t>
  </si>
  <si>
    <t xml:space="preserve">Kolar Circle  </t>
  </si>
  <si>
    <t xml:space="preserve">BRAZ TOTAL </t>
  </si>
  <si>
    <t>Tumkur</t>
  </si>
  <si>
    <t>Tiptur</t>
  </si>
  <si>
    <t>Madhugiri</t>
  </si>
  <si>
    <t>Kunigal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</si>
  <si>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</si>
  <si>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</si>
  <si>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</si>
  <si>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</si>
  <si>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</si>
  <si>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</si>
  <si>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</si>
  <si>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</si>
  <si>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Added during the month</t>
  </si>
  <si>
    <t>During the year</t>
  </si>
  <si>
    <t>TOTAL LT LINES EXISTING</t>
  </si>
  <si>
    <t>Assistant General Manager(Op-4)</t>
  </si>
  <si>
    <t>Deputy General Manager(Op-1)</t>
  </si>
  <si>
    <t>BESCOM</t>
  </si>
  <si>
    <t>Chief General Manager,</t>
  </si>
  <si>
    <t>Operations, BESCOM</t>
  </si>
  <si>
    <t>M</t>
  </si>
  <si>
    <t>Hosakote</t>
  </si>
  <si>
    <t>Ramanagar Circle</t>
  </si>
  <si>
    <t>Over Head</t>
  </si>
  <si>
    <t>UG</t>
  </si>
  <si>
    <t>AB Cable</t>
  </si>
  <si>
    <t xml:space="preserve">Added for the month </t>
  </si>
  <si>
    <t>Dimantled</t>
  </si>
  <si>
    <t>Division-wise LT Over head lines ,U.G. &amp; ABC Cables added &amp; dismantled during the month of March 2022 &amp; during the Year 2021-22 in  Rkm</t>
  </si>
  <si>
    <t>Division-wise LT Over head lines ,U.G. &amp; ABC Cables added &amp; dismantled during the month of April 2022 &amp; during the Year 2022-23 in  Rkm</t>
  </si>
  <si>
    <t>Division-wise LT Over head lines ,U.G. &amp; ABC Cables added &amp; dismantled during the month of May 2022 &amp; during the Year 2022-23 in  Rkm</t>
  </si>
  <si>
    <t>Division-wise LT Over head lines ,U.G. &amp; ABC Cables added &amp; dismantled during the month of June 2022 &amp; during the Year 2022-23 in  Rkm</t>
  </si>
  <si>
    <t>Division-wise LT Over head lines ,U.G. &amp; ABC Cables added &amp; dismantled during the month of July 2022 &amp; during the Year 2022-23 in  Rkm</t>
  </si>
  <si>
    <t>Division-wise LT Over head lines ,U.G. &amp; ABC Cables added &amp; dismantled during the month of August 2022 &amp; during the Year 2022-23 in  Rkm</t>
  </si>
  <si>
    <t>Division-wise LT Over head lines ,U.G. &amp; ABC Cables added &amp; dismantled during the month of Septermber 2022 &amp; during the Year 2022-23 in  Rkm</t>
  </si>
  <si>
    <t>Division-wise LT Over head lines ,U.G. &amp; ABC Cables added &amp; dismantled during the month of  October 2022 &amp; during the Year 2022-23 in  Rkm</t>
  </si>
  <si>
    <t>Division-wise LT Over head lines ,U.G. &amp; ABC Cables added &amp; dismantled during the month of  November 2022 &amp; during the Year 2022-23 in  Rkm</t>
  </si>
  <si>
    <t>Division-wise LT Over head lines ,U.G. &amp; ABC Cables added &amp; dismantled during the month of  December 2022 &amp; during the Year 2022-23 in  Rkm</t>
  </si>
  <si>
    <t>Division-wise LT Over head lines ,U.G. &amp; ABC Cables added &amp; dismantled during the month of January 2023 &amp; during the Year 2022-23 in  Rkm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</si>
</sst>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"/>
    <numFmt numFmtId="167" formatCode="0.00000000000000"/>
    <numFmt numFmtId="168" formatCode="#,##0.0000_);\(#,##0.0000\)"/>
    <numFmt numFmtId="169" formatCode="_-* #,##0\ &quot;F&quot;_-;\-* #,##0\ &quot;F&quot;_-;_-* &quot;-&quot;\ &quot;F&quot;_-;_-@_-"/>
    <numFmt numFmtId="170" formatCode="0.00000_)"/>
    <numFmt numFmtId="171" formatCode="_-* #,##0\ _F_-;\-* #,##0\ _F_-;_-* &quot;-&quot;\ _F_-;_-@_-"/>
    <numFmt numFmtId="172" formatCode="&quot;\&quot;#,##0.00;[Red]\-&quot;\&quot;#,##0.00"/>
    <numFmt numFmtId="173" formatCode="_([$€-2]* #,##0.00_);_([$€-2]* \(#,##0.00\);_([$€-2]* &quot;-&quot;??_)"/>
    <numFmt numFmtId="174" formatCode="#,##0.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Bookman Old Style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4"/>
      <name val="AngsanaUPC"/>
      <family val="1"/>
      <charset val="222"/>
    </font>
    <font>
      <sz val="12"/>
      <name val="¹ÙÅÁÃ¼"/>
      <charset val="129"/>
    </font>
    <font>
      <sz val="10"/>
      <color indexed="10"/>
      <name val="Arial"/>
      <family val="2"/>
    </font>
    <font>
      <u/>
      <sz val="9"/>
      <color indexed="12"/>
      <name val="Arial"/>
      <family val="2"/>
    </font>
    <font>
      <sz val="7"/>
      <name val="Small Fonts"/>
      <family val="2"/>
    </font>
    <font>
      <sz val="12"/>
      <name val="Times New Roman"/>
      <family val="1"/>
    </font>
    <font>
      <b/>
      <sz val="10"/>
      <name val="Arial CE"/>
      <family val="2"/>
      <charset val="238"/>
    </font>
    <font>
      <u/>
      <sz val="9"/>
      <color indexed="36"/>
      <name val="Arial"/>
      <family val="2"/>
    </font>
    <font>
      <sz val="10"/>
      <name val="MS Sans Serif"/>
      <family val="2"/>
    </font>
    <font>
      <u/>
      <sz val="7"/>
      <color theme="10"/>
      <name val="Arial"/>
      <family val="2"/>
    </font>
    <font>
      <sz val="12"/>
      <color theme="1"/>
      <name val="Calibri"/>
      <family val="2"/>
      <scheme val="minor"/>
    </font>
    <font>
      <sz val="26"/>
      <name val="Bookman Old Style"/>
      <family val="1"/>
    </font>
    <font>
      <b/>
      <sz val="26"/>
      <color theme="0"/>
      <name val="Bookman Old Style"/>
      <family val="1"/>
    </font>
    <font>
      <sz val="26"/>
      <color theme="0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</borders>
  <cellStyleXfs count="183">
    <xf numFmtId="0" fontId="0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25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7" fillId="3" borderId="0" applyNumberFormat="0" applyBorder="0" applyAlignment="0" applyProtection="0"/>
    <xf numFmtId="0" fontId="26" fillId="0" borderId="0"/>
    <xf numFmtId="0" fontId="8" fillId="20" borderId="2" applyNumberFormat="0" applyAlignment="0" applyProtection="0"/>
    <xf numFmtId="0" fontId="9" fillId="21" borderId="3" applyNumberFormat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 applyFont="0" applyFill="0" applyBorder="0" applyAlignment="0" applyProtection="0">
      <alignment vertical="center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4" fontId="27" fillId="0" borderId="4">
      <alignment horizontal="right"/>
    </xf>
    <xf numFmtId="0" fontId="11" fillId="4" borderId="0" applyNumberFormat="0" applyBorder="0" applyAlignment="0" applyProtection="0"/>
    <xf numFmtId="0" fontId="23" fillId="0" borderId="5" applyNumberFormat="0" applyAlignment="0" applyProtection="0">
      <alignment horizontal="left" vertical="center"/>
    </xf>
    <xf numFmtId="0" fontId="23" fillId="0" borderId="6">
      <alignment horizontal="left" vertical="center"/>
    </xf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6" fillId="7" borderId="2" applyNumberFormat="0" applyAlignment="0" applyProtection="0"/>
    <xf numFmtId="0" fontId="17" fillId="0" borderId="10" applyNumberFormat="0" applyFill="0" applyAlignment="0" applyProtection="0"/>
    <xf numFmtId="0" fontId="18" fillId="22" borderId="0" applyNumberFormat="0" applyBorder="0" applyAlignment="0" applyProtection="0"/>
    <xf numFmtId="37" fontId="29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" fillId="23" borderId="11" applyNumberFormat="0" applyFont="0" applyAlignment="0" applyProtection="0"/>
    <xf numFmtId="0" fontId="2" fillId="23" borderId="11" applyNumberFormat="0" applyFont="0" applyAlignment="0" applyProtection="0"/>
    <xf numFmtId="0" fontId="19" fillId="20" borderId="12" applyNumberFormat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1" fillId="0" borderId="0" applyFont="0"/>
    <xf numFmtId="164" fontId="2" fillId="0" borderId="0" applyNumberFormat="0">
      <alignment horizontal="left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>
      <alignment vertical="top"/>
    </xf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/>
  </cellStyleXfs>
  <cellXfs count="118">
    <xf numFmtId="0" fontId="0" fillId="0" borderId="0" xfId="0"/>
    <xf numFmtId="2" fontId="3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horizontal="center" vertical="center" wrapText="1"/>
    </xf>
    <xf numFmtId="0" fontId="36" fillId="0" borderId="0" xfId="1" applyFont="1" applyFill="1" applyBorder="1" applyAlignment="1">
      <alignment wrapText="1"/>
    </xf>
    <xf numFmtId="0" fontId="36" fillId="0" borderId="1" xfId="1" applyFont="1" applyFill="1" applyBorder="1" applyAlignment="1">
      <alignment horizontal="center" wrapText="1"/>
    </xf>
    <xf numFmtId="0" fontId="36" fillId="0" borderId="0" xfId="1" applyFont="1" applyFill="1" applyBorder="1" applyAlignment="1">
      <alignment horizontal="center" wrapText="1"/>
    </xf>
    <xf numFmtId="0" fontId="36" fillId="0" borderId="0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36" fillId="0" borderId="1" xfId="1" applyFont="1" applyFill="1" applyBorder="1" applyAlignment="1">
      <alignment horizontal="center" vertical="top" wrapText="1"/>
    </xf>
    <xf numFmtId="0" fontId="36" fillId="0" borderId="1" xfId="1" applyFont="1" applyFill="1" applyBorder="1" applyAlignment="1">
      <alignment horizontal="left" vertical="center" wrapText="1"/>
    </xf>
    <xf numFmtId="2" fontId="36" fillId="0" borderId="1" xfId="1" applyNumberFormat="1" applyFont="1" applyFill="1" applyBorder="1" applyAlignment="1">
      <alignment horizontal="center" vertical="center" wrapText="1"/>
    </xf>
    <xf numFmtId="2" fontId="36" fillId="0" borderId="1" xfId="1" applyNumberFormat="1" applyFont="1" applyFill="1" applyBorder="1" applyAlignment="1">
      <alignment horizontal="center" wrapText="1"/>
    </xf>
    <xf numFmtId="2" fontId="36" fillId="0" borderId="0" xfId="1" applyNumberFormat="1" applyFont="1" applyFill="1" applyBorder="1" applyAlignment="1">
      <alignment horizontal="center" wrapText="1"/>
    </xf>
    <xf numFmtId="0" fontId="36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2" fontId="36" fillId="0" borderId="0" xfId="1" applyNumberFormat="1" applyFont="1" applyFill="1" applyBorder="1" applyAlignment="1">
      <alignment horizontal="center"/>
    </xf>
    <xf numFmtId="0" fontId="37" fillId="0" borderId="0" xfId="1" applyFont="1" applyFill="1" applyBorder="1" applyAlignment="1">
      <alignment horizontal="center" vertical="top" wrapText="1"/>
    </xf>
    <xf numFmtId="0" fontId="37" fillId="0" borderId="0" xfId="1" applyFont="1" applyFill="1" applyBorder="1" applyAlignment="1">
      <alignment horizontal="left" vertical="center" wrapText="1"/>
    </xf>
    <xf numFmtId="2" fontId="37" fillId="0" borderId="0" xfId="1" applyNumberFormat="1" applyFont="1" applyFill="1" applyBorder="1" applyAlignment="1">
      <alignment horizontal="center" vertical="center" wrapText="1"/>
    </xf>
    <xf numFmtId="2" fontId="36" fillId="0" borderId="0" xfId="1" applyNumberFormat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wrapText="1"/>
    </xf>
    <xf numFmtId="2" fontId="38" fillId="0" borderId="0" xfId="1" applyNumberFormat="1" applyFont="1" applyFill="1" applyBorder="1" applyAlignment="1">
      <alignment horizontal="center" vertical="center" wrapText="1"/>
    </xf>
    <xf numFmtId="2" fontId="37" fillId="0" borderId="0" xfId="1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left" vertical="center" wrapText="1"/>
    </xf>
    <xf numFmtId="2" fontId="3" fillId="0" borderId="0" xfId="1" applyNumberFormat="1" applyFont="1" applyFill="1" applyBorder="1" applyAlignment="1">
      <alignment vertical="center" wrapText="1"/>
    </xf>
    <xf numFmtId="2" fontId="3" fillId="0" borderId="0" xfId="1" applyNumberFormat="1" applyFont="1" applyFill="1" applyBorder="1" applyAlignment="1">
      <alignment horizontal="center" wrapText="1"/>
    </xf>
    <xf numFmtId="0" fontId="36" fillId="0" borderId="0" xfId="1" applyFont="1" applyFill="1" applyBorder="1" applyAlignment="1">
      <alignment horizontal="left" vertical="center" wrapText="1"/>
    </xf>
    <xf numFmtId="2" fontId="36" fillId="0" borderId="0" xfId="1" applyNumberFormat="1" applyFont="1" applyFill="1" applyBorder="1" applyAlignment="1">
      <alignment wrapText="1"/>
    </xf>
    <xf numFmtId="2" fontId="36" fillId="0" borderId="0" xfId="1" applyNumberFormat="1" applyFont="1" applyFill="1" applyBorder="1" applyAlignment="1">
      <alignment vertical="top" wrapText="1"/>
    </xf>
    <xf numFmtId="2" fontId="38" fillId="0" borderId="0" xfId="1" applyNumberFormat="1" applyFont="1" applyFill="1" applyBorder="1" applyAlignment="1">
      <alignment wrapText="1"/>
    </xf>
    <xf numFmtId="2" fontId="37" fillId="0" borderId="0" xfId="1" applyNumberFormat="1" applyFont="1" applyFill="1" applyBorder="1" applyAlignment="1">
      <alignment horizontal="right" wrapText="1"/>
    </xf>
    <xf numFmtId="2" fontId="3" fillId="0" borderId="0" xfId="1" applyNumberFormat="1" applyFont="1" applyFill="1" applyBorder="1" applyAlignment="1">
      <alignment horizontal="right" wrapText="1"/>
    </xf>
    <xf numFmtId="2" fontId="37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vertical="center" wrapText="1"/>
    </xf>
    <xf numFmtId="167" fontId="36" fillId="0" borderId="0" xfId="1" applyNumberFormat="1" applyFont="1" applyFill="1" applyBorder="1" applyAlignment="1">
      <alignment wrapText="1"/>
    </xf>
    <xf numFmtId="2" fontId="36" fillId="0" borderId="1" xfId="4" applyNumberFormat="1" applyFont="1" applyFill="1" applyBorder="1" applyAlignment="1">
      <alignment horizontal="center" vertical="center"/>
    </xf>
    <xf numFmtId="2" fontId="36" fillId="0" borderId="1" xfId="4" quotePrefix="1" applyNumberFormat="1" applyFont="1" applyFill="1" applyBorder="1" applyAlignment="1">
      <alignment horizontal="center" vertical="center"/>
    </xf>
    <xf numFmtId="166" fontId="36" fillId="0" borderId="0" xfId="1" applyNumberFormat="1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1" fontId="37" fillId="0" borderId="0" xfId="1" applyNumberFormat="1" applyFont="1" applyFill="1" applyBorder="1"/>
    <xf numFmtId="2" fontId="3" fillId="0" borderId="0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wrapText="1"/>
    </xf>
    <xf numFmtId="0" fontId="39" fillId="0" borderId="0" xfId="0" applyFont="1" applyFill="1"/>
    <xf numFmtId="0" fontId="40" fillId="0" borderId="0" xfId="0" applyFont="1" applyFill="1" applyAlignment="1">
      <alignment horizontal="center" wrapText="1"/>
    </xf>
    <xf numFmtId="0" fontId="40" fillId="0" borderId="0" xfId="0" applyFont="1" applyFill="1"/>
    <xf numFmtId="2" fontId="39" fillId="0" borderId="0" xfId="0" applyNumberFormat="1" applyFont="1" applyFill="1"/>
    <xf numFmtId="17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24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2" fontId="3" fillId="24" borderId="1" xfId="1" applyNumberFormat="1" applyFont="1" applyFill="1" applyBorder="1" applyAlignment="1">
      <alignment horizont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6" fillId="25" borderId="1" xfId="1" applyNumberFormat="1" applyFont="1" applyFill="1" applyBorder="1" applyAlignment="1">
      <alignment horizontal="center" vertical="center" wrapText="1"/>
    </xf>
    <xf numFmtId="2" fontId="36" fillId="25" borderId="1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36" fillId="24" borderId="1" xfId="1" applyNumberFormat="1" applyFont="1" applyFill="1" applyBorder="1" applyAlignment="1">
      <alignment horizontal="center" vertical="center" wrapText="1"/>
    </xf>
    <xf numFmtId="2" fontId="37" fillId="24" borderId="0" xfId="1" applyNumberFormat="1" applyFont="1" applyFill="1" applyBorder="1" applyAlignment="1">
      <alignment horizontal="center" vertical="center" wrapText="1"/>
    </xf>
    <xf numFmtId="2" fontId="3" fillId="24" borderId="0" xfId="1" applyNumberFormat="1" applyFont="1" applyFill="1" applyBorder="1" applyAlignment="1">
      <alignment horizontal="center" vertical="center" wrapText="1"/>
    </xf>
    <xf numFmtId="2" fontId="36" fillId="24" borderId="0" xfId="1" applyNumberFormat="1" applyFont="1" applyFill="1" applyBorder="1" applyAlignment="1">
      <alignment wrapText="1"/>
    </xf>
    <xf numFmtId="2" fontId="3" fillId="24" borderId="0" xfId="1" applyNumberFormat="1" applyFont="1" applyFill="1" applyBorder="1" applyAlignment="1">
      <alignment wrapText="1"/>
    </xf>
    <xf numFmtId="2" fontId="37" fillId="24" borderId="0" xfId="1" applyNumberFormat="1" applyFont="1" applyFill="1" applyBorder="1" applyAlignment="1">
      <alignment wrapText="1"/>
    </xf>
    <xf numFmtId="0" fontId="3" fillId="24" borderId="0" xfId="1" applyFont="1" applyFill="1" applyBorder="1" applyAlignment="1">
      <alignment wrapText="1"/>
    </xf>
    <xf numFmtId="2" fontId="38" fillId="24" borderId="0" xfId="1" applyNumberFormat="1" applyFont="1" applyFill="1" applyBorder="1" applyAlignment="1">
      <alignment wrapText="1"/>
    </xf>
    <xf numFmtId="0" fontId="36" fillId="24" borderId="0" xfId="1" applyFont="1" applyFill="1" applyBorder="1" applyAlignment="1">
      <alignment wrapText="1"/>
    </xf>
    <xf numFmtId="1" fontId="37" fillId="24" borderId="0" xfId="1" applyNumberFormat="1" applyFont="1" applyFill="1" applyBorder="1"/>
    <xf numFmtId="2" fontId="36" fillId="24" borderId="1" xfId="1" applyNumberFormat="1" applyFont="1" applyFill="1" applyBorder="1" applyAlignment="1">
      <alignment horizontal="center" wrapText="1"/>
    </xf>
    <xf numFmtId="2" fontId="37" fillId="24" borderId="0" xfId="1" applyNumberFormat="1" applyFont="1" applyFill="1" applyBorder="1" applyAlignment="1">
      <alignment horizontal="center" wrapText="1"/>
    </xf>
    <xf numFmtId="166" fontId="36" fillId="24" borderId="0" xfId="1" applyNumberFormat="1" applyFont="1" applyFill="1" applyBorder="1" applyAlignment="1">
      <alignment wrapText="1"/>
    </xf>
    <xf numFmtId="0" fontId="3" fillId="24" borderId="0" xfId="1" applyFont="1" applyFill="1" applyBorder="1" applyAlignment="1">
      <alignment horizontal="center" wrapText="1"/>
    </xf>
    <xf numFmtId="2" fontId="0" fillId="25" borderId="0" xfId="0" applyNumberFormat="1" applyFill="1"/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2" fontId="3" fillId="25" borderId="1" xfId="1" applyNumberFormat="1" applyFont="1" applyFill="1" applyBorder="1" applyAlignment="1">
      <alignment horizontal="center" vertical="center" wrapText="1"/>
    </xf>
    <xf numFmtId="2" fontId="36" fillId="26" borderId="1" xfId="1" applyNumberFormat="1" applyFont="1" applyFill="1" applyBorder="1" applyAlignment="1">
      <alignment horizontal="center" vertical="center" wrapText="1"/>
    </xf>
    <xf numFmtId="0" fontId="3" fillId="24" borderId="1" xfId="1" applyFont="1" applyFill="1" applyBorder="1" applyAlignment="1">
      <alignment horizontal="left" vertical="center" wrapText="1"/>
    </xf>
    <xf numFmtId="2" fontId="36" fillId="27" borderId="1" xfId="1" applyNumberFormat="1" applyFont="1" applyFill="1" applyBorder="1" applyAlignment="1">
      <alignment horizont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25" borderId="1" xfId="1" applyFont="1" applyFill="1" applyBorder="1" applyAlignment="1">
      <alignment horizontal="left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36" fillId="0" borderId="14" xfId="1" applyNumberFormat="1" applyFont="1" applyFill="1" applyBorder="1" applyAlignment="1">
      <alignment horizontal="center" vertical="center" wrapText="1"/>
    </xf>
    <xf numFmtId="0" fontId="3" fillId="24" borderId="1" xfId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</cellXfs>
  <cellStyles count="18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75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ÅëÈ­ [0]_±âÅ¸" xfId="30"/>
    <cellStyle name="ÅëÈ­_±âÅ¸" xfId="31"/>
    <cellStyle name="ÄÞ¸¶ [0]_±âÅ¸" xfId="32"/>
    <cellStyle name="ÄÞ¸¶_±âÅ¸" xfId="33"/>
    <cellStyle name="Bad 2" xfId="34"/>
    <cellStyle name="Ç¥ÁØ_¿¬°£´©°è¿¹»ó" xfId="35"/>
    <cellStyle name="Calculation 2" xfId="36"/>
    <cellStyle name="Check Cell 2" xfId="37"/>
    <cellStyle name="Comma  - Style1" xfId="38"/>
    <cellStyle name="Comma  - Style2" xfId="39"/>
    <cellStyle name="Comma  - Style3" xfId="40"/>
    <cellStyle name="Comma  - Style4" xfId="41"/>
    <cellStyle name="Comma  - Style5" xfId="42"/>
    <cellStyle name="Comma  - Style6" xfId="43"/>
    <cellStyle name="Comma  - Style7" xfId="44"/>
    <cellStyle name="Comma  - Style8" xfId="45"/>
    <cellStyle name="Comma 2" xfId="46"/>
    <cellStyle name="Comma 2 2" xfId="47"/>
    <cellStyle name="Comma 2 2 2" xfId="48"/>
    <cellStyle name="Comma 2 3" xfId="49"/>
    <cellStyle name="Comma 2 4" xfId="50"/>
    <cellStyle name="Comma 3" xfId="51"/>
    <cellStyle name="Comma 4" xfId="52"/>
    <cellStyle name="Comma 5" xfId="53"/>
    <cellStyle name="Currency 2" xfId="54"/>
    <cellStyle name="Currency 2 2" xfId="55"/>
    <cellStyle name="Currency 3" xfId="56"/>
    <cellStyle name="Currency 4" xfId="57"/>
    <cellStyle name="Euro" xfId="58"/>
    <cellStyle name="Explanatory Text 2" xfId="59"/>
    <cellStyle name="Formula" xfId="60"/>
    <cellStyle name="Good 2" xfId="61"/>
    <cellStyle name="Header1" xfId="62"/>
    <cellStyle name="Header2" xfId="63"/>
    <cellStyle name="Heading 1 2" xfId="64"/>
    <cellStyle name="Heading 2 2" xfId="65"/>
    <cellStyle name="Heading 3 2" xfId="66"/>
    <cellStyle name="Heading 4 2" xfId="67"/>
    <cellStyle name="Hyperlink 2" xfId="68"/>
    <cellStyle name="Hyperlink 3" xfId="69"/>
    <cellStyle name="Hypertextový odkaz" xfId="70"/>
    <cellStyle name="Input 2" xfId="71"/>
    <cellStyle name="Linked Cell 2" xfId="72"/>
    <cellStyle name="Neutral 2" xfId="73"/>
    <cellStyle name="no dec" xfId="74"/>
    <cellStyle name="Nor}al" xfId="75"/>
    <cellStyle name="Normal" xfId="0" builtinId="0"/>
    <cellStyle name="Normal - Style1" xfId="76"/>
    <cellStyle name="Normal 10" xfId="77"/>
    <cellStyle name="Normal 10 16" xfId="78"/>
    <cellStyle name="Normal 10 2" xfId="79"/>
    <cellStyle name="Normal 11" xfId="80"/>
    <cellStyle name="Normal 12" xfId="81"/>
    <cellStyle name="Normal 12 2" xfId="82"/>
    <cellStyle name="Normal 13" xfId="83"/>
    <cellStyle name="Normal 138_EEPhoneNos" xfId="84"/>
    <cellStyle name="Normal 14" xfId="85"/>
    <cellStyle name="Normal 14 2" xfId="86"/>
    <cellStyle name="Normal 14_January-2010  Fortnight WS Tra NEW" xfId="87"/>
    <cellStyle name="Normal 15" xfId="88"/>
    <cellStyle name="Normal 16" xfId="89"/>
    <cellStyle name="Normal 17" xfId="90"/>
    <cellStyle name="Normal 18" xfId="91"/>
    <cellStyle name="Normal 19" xfId="92"/>
    <cellStyle name="Normal 2" xfId="1"/>
    <cellStyle name="Normal 2 10" xfId="93"/>
    <cellStyle name="Normal 2 11" xfId="94"/>
    <cellStyle name="Normal 2 12" xfId="95"/>
    <cellStyle name="Normal 2 13" xfId="96"/>
    <cellStyle name="Normal 2 14" xfId="97"/>
    <cellStyle name="Normal 2 15" xfId="98"/>
    <cellStyle name="Normal 2 16" xfId="99"/>
    <cellStyle name="Normal 2 17" xfId="100"/>
    <cellStyle name="Normal 2 18" xfId="101"/>
    <cellStyle name="Normal 2 19" xfId="102"/>
    <cellStyle name="Normal 2 2" xfId="2"/>
    <cellStyle name="Normal 2 2 2" xfId="103"/>
    <cellStyle name="Normal 2 2 3" xfId="104"/>
    <cellStyle name="Normal 2 2_Meeting_Notes_09-03-2009" xfId="105"/>
    <cellStyle name="Normal 2 3" xfId="106"/>
    <cellStyle name="Normal 2 4" xfId="107"/>
    <cellStyle name="Normal 2 4 2" xfId="108"/>
    <cellStyle name="Normal 2 5" xfId="109"/>
    <cellStyle name="Normal 2 6" xfId="110"/>
    <cellStyle name="Normal 2 7" xfId="111"/>
    <cellStyle name="Normal 2 8" xfId="112"/>
    <cellStyle name="Normal 2 9" xfId="113"/>
    <cellStyle name="Normal 20" xfId="3"/>
    <cellStyle name="Normal 20 2" xfId="115"/>
    <cellStyle name="Normal 20 3" xfId="114"/>
    <cellStyle name="Normal 21" xfId="116"/>
    <cellStyle name="Normal 22" xfId="117"/>
    <cellStyle name="Normal 23" xfId="118"/>
    <cellStyle name="Normal 24" xfId="119"/>
    <cellStyle name="Normal 25" xfId="120"/>
    <cellStyle name="Normal 26" xfId="121"/>
    <cellStyle name="Normal 27" xfId="122"/>
    <cellStyle name="Normal 28" xfId="123"/>
    <cellStyle name="Normal 29" xfId="124"/>
    <cellStyle name="Normal 3" xfId="125"/>
    <cellStyle name="Normal 3 2" xfId="126"/>
    <cellStyle name="Normal 3 2 2" xfId="127"/>
    <cellStyle name="Normal 3 3" xfId="128"/>
    <cellStyle name="Normal 3 3 2" xfId="129"/>
    <cellStyle name="Normal 3 4" xfId="130"/>
    <cellStyle name="Normal 3 5" xfId="131"/>
    <cellStyle name="Normal 3_Weekly transformer New format" xfId="132"/>
    <cellStyle name="Normal 30" xfId="133"/>
    <cellStyle name="Normal 31" xfId="134"/>
    <cellStyle name="Normal 32" xfId="135"/>
    <cellStyle name="Normal 33" xfId="136"/>
    <cellStyle name="Normal 34" xfId="137"/>
    <cellStyle name="Normal 35" xfId="138"/>
    <cellStyle name="Normal 36" xfId="139"/>
    <cellStyle name="Normal 37" xfId="140"/>
    <cellStyle name="Normal 38" xfId="141"/>
    <cellStyle name="Normal 39" xfId="142"/>
    <cellStyle name="Normal 4" xfId="143"/>
    <cellStyle name="Normal 4 2" xfId="144"/>
    <cellStyle name="Normal 4 3" xfId="145"/>
    <cellStyle name="Normal 4_Feederwise TCs as on June-08" xfId="146"/>
    <cellStyle name="Normal 40" xfId="147"/>
    <cellStyle name="Normal 41" xfId="4"/>
    <cellStyle name="Normal 41 2" xfId="182"/>
    <cellStyle name="Normal 5" xfId="148"/>
    <cellStyle name="Normal 5 2" xfId="149"/>
    <cellStyle name="Normal 5 2 2" xfId="150"/>
    <cellStyle name="Normal 6" xfId="151"/>
    <cellStyle name="Normal 6 2" xfId="152"/>
    <cellStyle name="Normal 6 2 2" xfId="153"/>
    <cellStyle name="Normal 6 2_MIS-Dec-2008 " xfId="154"/>
    <cellStyle name="Normal 7" xfId="155"/>
    <cellStyle name="Normal 7 2" xfId="156"/>
    <cellStyle name="Normal 7_Agenda-1 MMR Meeting for the month of December-2009" xfId="157"/>
    <cellStyle name="Normal 8" xfId="158"/>
    <cellStyle name="Normal 8 2" xfId="159"/>
    <cellStyle name="Normal 8 3" xfId="160"/>
    <cellStyle name="Normal 8_Meeting Booklet (Tech Formates) Dec-08" xfId="161"/>
    <cellStyle name="Normal 9" xfId="162"/>
    <cellStyle name="Normal 9 2" xfId="163"/>
    <cellStyle name="Note 2" xfId="165"/>
    <cellStyle name="Note 3" xfId="164"/>
    <cellStyle name="Output 2" xfId="166"/>
    <cellStyle name="Percent 2" xfId="167"/>
    <cellStyle name="Percent 2 2" xfId="168"/>
    <cellStyle name="Percent 2 3" xfId="169"/>
    <cellStyle name="Percent 3" xfId="170"/>
    <cellStyle name="Percent 4" xfId="171"/>
    <cellStyle name="Percent 5" xfId="172"/>
    <cellStyle name="Percent 6" xfId="173"/>
    <cellStyle name="Popis" xfId="174"/>
    <cellStyle name="Rs" xfId="175"/>
    <cellStyle name="Sledovaný hypertextový odkaz" xfId="176"/>
    <cellStyle name="Standard_BS14" xfId="177"/>
    <cellStyle name="Style 1" xfId="178"/>
    <cellStyle name="Title 2" xfId="179"/>
    <cellStyle name="Total 2" xfId="180"/>
    <cellStyle name="Warning Text 2" xfId="181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20-21/HT%20LT%20FY%202020-21/LT%20Lines%20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0"/>
      <sheetName val="april 2020"/>
      <sheetName val="circle ob "/>
      <sheetName val="diff"/>
      <sheetName val="May 2020"/>
      <sheetName val="June 2020"/>
      <sheetName val="july 2020"/>
      <sheetName val="August 2020"/>
      <sheetName val="sep 2020"/>
      <sheetName val="oct 2020"/>
      <sheetName val="Nov 2020"/>
      <sheetName val="Dec 2020 "/>
      <sheetName val="Jan 2021"/>
      <sheetName val="feb 2021"/>
      <sheetName val="March 2021"/>
      <sheetName val="Sheet1"/>
    </sheetNames>
    <sheetDataSet>
      <sheetData sheetId="0"/>
      <sheetData sheetId="1"/>
      <sheetData sheetId="2"/>
      <sheetData sheetId="3"/>
      <sheetData sheetId="4">
        <row r="56">
          <cell r="H56">
            <v>174730.96100000001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176837.64300000001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9"/>
  <sheetViews>
    <sheetView zoomScale="36" zoomScaleNormal="36" zoomScaleSheetLayoutView="25" workbookViewId="0">
      <pane ySplit="6" topLeftCell="A40" activePane="bottomLeft" state="frozen"/>
      <selection pane="bottomLeft" activeCell="T51" sqref="T51"/>
    </sheetView>
  </sheetViews>
  <sheetFormatPr defaultRowHeight="33"/>
  <cols>
    <col min="1" max="1" width="16.7109375" style="3" customWidth="1"/>
    <col min="2" max="2" width="45.5703125" style="30" customWidth="1"/>
    <col min="3" max="3" width="36.5703125" style="3" customWidth="1"/>
    <col min="4" max="4" width="28.140625" style="3" customWidth="1"/>
    <col min="5" max="5" width="40.28515625" style="3" customWidth="1"/>
    <col min="6" max="6" width="32.42578125" style="3" customWidth="1"/>
    <col min="7" max="7" width="28.140625" style="3" customWidth="1"/>
    <col min="8" max="8" width="41.85546875" style="3" customWidth="1"/>
    <col min="9" max="9" width="29.5703125" style="3" customWidth="1"/>
    <col min="10" max="10" width="39.42578125" style="3" customWidth="1"/>
    <col min="11" max="11" width="28.140625" style="3" customWidth="1"/>
    <col min="12" max="12" width="36.7109375" style="3" customWidth="1"/>
    <col min="13" max="13" width="30.140625" style="3" customWidth="1"/>
    <col min="14" max="14" width="28.140625" style="3" customWidth="1"/>
    <col min="15" max="15" width="47.28515625" style="5" customWidth="1"/>
    <col min="16" max="16" width="32.7109375" style="3" customWidth="1"/>
    <col min="17" max="17" width="34.5703125" style="3" customWidth="1"/>
    <col min="18" max="18" width="36" style="3" customWidth="1"/>
    <col min="19" max="19" width="28.140625" style="6" customWidth="1"/>
    <col min="20" max="20" width="28.140625" style="3" customWidth="1"/>
    <col min="21" max="21" width="36.7109375" style="5" customWidth="1"/>
    <col min="22" max="23" width="26" style="5" customWidth="1"/>
    <col min="24" max="16384" width="9.140625" style="3"/>
  </cols>
  <sheetData>
    <row r="1" spans="1:183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2"/>
      <c r="W1" s="2"/>
    </row>
    <row r="2" spans="1:183" ht="7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2"/>
      <c r="W2" s="2"/>
    </row>
    <row r="3" spans="1:183" ht="35.25" customHeight="1">
      <c r="A3" s="110" t="s">
        <v>74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2"/>
      <c r="W3" s="2"/>
    </row>
    <row r="4" spans="1:183" s="6" customFormat="1" ht="32.25" customHeight="1">
      <c r="A4" s="110" t="s">
        <v>1</v>
      </c>
      <c r="B4" s="110" t="s">
        <v>2</v>
      </c>
      <c r="C4" s="110" t="s">
        <v>3</v>
      </c>
      <c r="D4" s="110"/>
      <c r="E4" s="110"/>
      <c r="F4" s="110"/>
      <c r="G4" s="110"/>
      <c r="H4" s="110"/>
      <c r="I4" s="110" t="s">
        <v>4</v>
      </c>
      <c r="J4" s="111"/>
      <c r="K4" s="111"/>
      <c r="L4" s="111"/>
      <c r="M4" s="111"/>
      <c r="N4" s="111"/>
      <c r="O4" s="110" t="s">
        <v>5</v>
      </c>
      <c r="P4" s="111"/>
      <c r="Q4" s="111"/>
      <c r="R4" s="111"/>
      <c r="S4" s="111"/>
      <c r="T4" s="111"/>
      <c r="U4" s="4"/>
      <c r="V4" s="5"/>
      <c r="W4" s="5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</row>
    <row r="5" spans="1:183" s="6" customFormat="1" ht="41.25" customHeight="1">
      <c r="A5" s="110"/>
      <c r="B5" s="110"/>
      <c r="C5" s="110" t="s">
        <v>6</v>
      </c>
      <c r="D5" s="110" t="s">
        <v>7</v>
      </c>
      <c r="E5" s="110"/>
      <c r="F5" s="110" t="s">
        <v>8</v>
      </c>
      <c r="G5" s="110"/>
      <c r="H5" s="110" t="s">
        <v>9</v>
      </c>
      <c r="I5" s="110" t="s">
        <v>6</v>
      </c>
      <c r="J5" s="110" t="s">
        <v>7</v>
      </c>
      <c r="K5" s="110"/>
      <c r="L5" s="110" t="s">
        <v>8</v>
      </c>
      <c r="M5" s="110"/>
      <c r="N5" s="110" t="s">
        <v>9</v>
      </c>
      <c r="O5" s="110" t="s">
        <v>10</v>
      </c>
      <c r="P5" s="110" t="s">
        <v>7</v>
      </c>
      <c r="Q5" s="110"/>
      <c r="R5" s="110" t="s">
        <v>8</v>
      </c>
      <c r="S5" s="110"/>
      <c r="T5" s="110" t="s">
        <v>9</v>
      </c>
      <c r="U5" s="110" t="s">
        <v>11</v>
      </c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s="6" customFormat="1" ht="60" customHeight="1">
      <c r="A6" s="110"/>
      <c r="B6" s="110"/>
      <c r="C6" s="110"/>
      <c r="D6" s="42" t="s">
        <v>12</v>
      </c>
      <c r="E6" s="42" t="s">
        <v>13</v>
      </c>
      <c r="F6" s="42" t="s">
        <v>12</v>
      </c>
      <c r="G6" s="42" t="s">
        <v>13</v>
      </c>
      <c r="H6" s="110"/>
      <c r="I6" s="110"/>
      <c r="J6" s="7" t="s">
        <v>12</v>
      </c>
      <c r="K6" s="42" t="s">
        <v>13</v>
      </c>
      <c r="L6" s="42" t="s">
        <v>12</v>
      </c>
      <c r="M6" s="42" t="s">
        <v>13</v>
      </c>
      <c r="N6" s="110"/>
      <c r="O6" s="110"/>
      <c r="P6" s="42" t="s">
        <v>12</v>
      </c>
      <c r="Q6" s="42" t="s">
        <v>13</v>
      </c>
      <c r="R6" s="42" t="s">
        <v>12</v>
      </c>
      <c r="S6" s="42" t="s">
        <v>13</v>
      </c>
      <c r="T6" s="110"/>
      <c r="U6" s="110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</row>
    <row r="7" spans="1:183" ht="42.75" customHeight="1">
      <c r="A7" s="8">
        <v>1</v>
      </c>
      <c r="B7" s="9" t="s">
        <v>14</v>
      </c>
      <c r="C7" s="10">
        <v>529.53000000000065</v>
      </c>
      <c r="D7" s="10">
        <v>0</v>
      </c>
      <c r="E7" s="10">
        <v>0</v>
      </c>
      <c r="F7" s="10">
        <v>368.49</v>
      </c>
      <c r="G7" s="10">
        <v>501.35</v>
      </c>
      <c r="H7" s="10">
        <f>C7+D7-F7</f>
        <v>161.04000000000065</v>
      </c>
      <c r="I7" s="10">
        <v>197.62499999999994</v>
      </c>
      <c r="J7" s="10">
        <v>7.0000000000000007E-2</v>
      </c>
      <c r="K7" s="10">
        <v>4.5000000000000009</v>
      </c>
      <c r="L7" s="10">
        <v>66.89</v>
      </c>
      <c r="M7" s="10">
        <v>66.89</v>
      </c>
      <c r="N7" s="10">
        <f>I7+J7-L7</f>
        <v>130.80499999999995</v>
      </c>
      <c r="O7" s="11">
        <v>165.57000000000008</v>
      </c>
      <c r="P7" s="10">
        <v>135.31</v>
      </c>
      <c r="Q7" s="10">
        <v>138.97</v>
      </c>
      <c r="R7" s="10">
        <v>17.2</v>
      </c>
      <c r="S7" s="10">
        <v>63.2</v>
      </c>
      <c r="T7" s="11">
        <f>O7+P7-R7</f>
        <v>283.68000000000012</v>
      </c>
      <c r="U7" s="11">
        <f>H7+N7+T7</f>
        <v>575.52500000000077</v>
      </c>
      <c r="V7" s="12"/>
      <c r="W7" s="12"/>
    </row>
    <row r="8" spans="1:183" ht="42.75" customHeight="1">
      <c r="A8" s="8">
        <v>2</v>
      </c>
      <c r="B8" s="9" t="s">
        <v>15</v>
      </c>
      <c r="C8" s="10">
        <v>497.47500000000002</v>
      </c>
      <c r="D8" s="10">
        <v>0</v>
      </c>
      <c r="E8" s="10">
        <v>0.87</v>
      </c>
      <c r="F8" s="10">
        <v>0</v>
      </c>
      <c r="G8" s="10">
        <v>0.39</v>
      </c>
      <c r="H8" s="10">
        <f t="shared" ref="H8:H51" si="0">C8+D8-F8</f>
        <v>497.47500000000002</v>
      </c>
      <c r="I8" s="10">
        <v>118.045</v>
      </c>
      <c r="J8" s="10">
        <v>1.9850000000000001</v>
      </c>
      <c r="K8" s="10">
        <v>12.764999999999999</v>
      </c>
      <c r="L8" s="10">
        <v>0</v>
      </c>
      <c r="M8" s="10">
        <v>0</v>
      </c>
      <c r="N8" s="10">
        <f t="shared" ref="N8:N51" si="1">I8+J8-L8</f>
        <v>120.03</v>
      </c>
      <c r="O8" s="11">
        <v>181.87000000000003</v>
      </c>
      <c r="P8" s="10">
        <v>5.77</v>
      </c>
      <c r="Q8" s="10">
        <v>23.08</v>
      </c>
      <c r="R8" s="10">
        <v>0</v>
      </c>
      <c r="S8" s="10">
        <v>0</v>
      </c>
      <c r="T8" s="11">
        <f t="shared" ref="T8:T51" si="2">O8+P8-R8</f>
        <v>187.64000000000004</v>
      </c>
      <c r="U8" s="11">
        <f t="shared" ref="U8:U51" si="3">H8+N8+T8</f>
        <v>805.14499999999998</v>
      </c>
      <c r="V8" s="12"/>
      <c r="W8" s="12"/>
    </row>
    <row r="9" spans="1:183" ht="42.75" customHeight="1">
      <c r="A9" s="8">
        <v>3</v>
      </c>
      <c r="B9" s="9" t="s">
        <v>16</v>
      </c>
      <c r="C9" s="10">
        <v>743.9599999999997</v>
      </c>
      <c r="D9" s="10">
        <v>0</v>
      </c>
      <c r="E9" s="10">
        <v>0</v>
      </c>
      <c r="F9" s="10">
        <v>0</v>
      </c>
      <c r="G9" s="10">
        <v>0</v>
      </c>
      <c r="H9" s="10">
        <f t="shared" si="0"/>
        <v>743.9599999999997</v>
      </c>
      <c r="I9" s="10">
        <v>196.80100000000004</v>
      </c>
      <c r="J9" s="10">
        <v>0.53200000000000003</v>
      </c>
      <c r="K9" s="10">
        <v>12.199000000000002</v>
      </c>
      <c r="L9" s="10">
        <v>0</v>
      </c>
      <c r="M9" s="10">
        <v>0</v>
      </c>
      <c r="N9" s="10">
        <f t="shared" si="1"/>
        <v>197.33300000000006</v>
      </c>
      <c r="O9" s="11">
        <v>141.44</v>
      </c>
      <c r="P9" s="10">
        <v>0</v>
      </c>
      <c r="Q9" s="10">
        <v>0</v>
      </c>
      <c r="R9" s="10">
        <v>0</v>
      </c>
      <c r="S9" s="10">
        <v>0</v>
      </c>
      <c r="T9" s="11">
        <f t="shared" si="2"/>
        <v>141.44</v>
      </c>
      <c r="U9" s="11">
        <f t="shared" si="3"/>
        <v>1082.7329999999997</v>
      </c>
      <c r="V9" s="12"/>
      <c r="W9" s="12"/>
    </row>
    <row r="10" spans="1:183" ht="42.75" customHeight="1">
      <c r="A10" s="8">
        <v>4</v>
      </c>
      <c r="B10" s="13" t="s">
        <v>17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f t="shared" si="0"/>
        <v>0</v>
      </c>
      <c r="I10" s="10">
        <v>141.93900000000008</v>
      </c>
      <c r="J10" s="10">
        <v>9.5000000000000001E-2</v>
      </c>
      <c r="K10" s="10">
        <v>2.8690000000000007</v>
      </c>
      <c r="L10" s="10">
        <v>0</v>
      </c>
      <c r="M10" s="10">
        <v>0</v>
      </c>
      <c r="N10" s="10">
        <f t="shared" si="1"/>
        <v>142.03400000000008</v>
      </c>
      <c r="O10" s="11">
        <v>233.16999999999996</v>
      </c>
      <c r="P10" s="10">
        <v>0</v>
      </c>
      <c r="Q10" s="10">
        <v>0</v>
      </c>
      <c r="R10" s="10">
        <v>0</v>
      </c>
      <c r="S10" s="10">
        <v>0</v>
      </c>
      <c r="T10" s="11">
        <f t="shared" si="2"/>
        <v>233.16999999999996</v>
      </c>
      <c r="U10" s="11">
        <f t="shared" si="3"/>
        <v>375.20400000000006</v>
      </c>
      <c r="V10" s="12"/>
      <c r="W10" s="12"/>
    </row>
    <row r="11" spans="1:183" s="17" customFormat="1" ht="42.75" customHeight="1">
      <c r="A11" s="14"/>
      <c r="B11" s="15" t="s">
        <v>18</v>
      </c>
      <c r="C11" s="16">
        <v>1770.9650000000001</v>
      </c>
      <c r="D11" s="16">
        <v>0</v>
      </c>
      <c r="E11" s="16">
        <v>0.87</v>
      </c>
      <c r="F11" s="16">
        <v>368.49</v>
      </c>
      <c r="G11" s="16">
        <v>501.74</v>
      </c>
      <c r="H11" s="16">
        <f t="shared" si="0"/>
        <v>1402.4750000000001</v>
      </c>
      <c r="I11" s="16">
        <v>654.41000000000008</v>
      </c>
      <c r="J11" s="16">
        <v>2.6820000000000004</v>
      </c>
      <c r="K11" s="16">
        <v>32.333000000000006</v>
      </c>
      <c r="L11" s="16">
        <v>66.89</v>
      </c>
      <c r="M11" s="16">
        <v>66.89</v>
      </c>
      <c r="N11" s="16">
        <f t="shared" si="1"/>
        <v>590.20200000000011</v>
      </c>
      <c r="O11" s="16">
        <v>722.05000000000007</v>
      </c>
      <c r="P11" s="16">
        <v>141.08000000000001</v>
      </c>
      <c r="Q11" s="16">
        <v>162.05000000000001</v>
      </c>
      <c r="R11" s="16">
        <v>17.2</v>
      </c>
      <c r="S11" s="16">
        <v>63.2</v>
      </c>
      <c r="T11" s="47">
        <f t="shared" si="2"/>
        <v>845.93000000000006</v>
      </c>
      <c r="U11" s="47">
        <f t="shared" si="3"/>
        <v>2838.607</v>
      </c>
      <c r="V11" s="46"/>
      <c r="W11" s="46"/>
    </row>
    <row r="12" spans="1:183" ht="42.75" customHeight="1">
      <c r="A12" s="8">
        <v>5</v>
      </c>
      <c r="B12" s="9" t="s">
        <v>19</v>
      </c>
      <c r="C12" s="10">
        <v>1653.4899999999991</v>
      </c>
      <c r="D12" s="10">
        <v>0</v>
      </c>
      <c r="E12" s="10">
        <v>0</v>
      </c>
      <c r="F12" s="10">
        <v>0</v>
      </c>
      <c r="G12" s="10">
        <v>191.14</v>
      </c>
      <c r="H12" s="10">
        <f t="shared" si="0"/>
        <v>1653.4899999999991</v>
      </c>
      <c r="I12" s="10">
        <v>121.51300000000001</v>
      </c>
      <c r="J12" s="39">
        <v>0.12</v>
      </c>
      <c r="K12" s="10">
        <v>1.8300000000000005</v>
      </c>
      <c r="L12" s="10">
        <v>0</v>
      </c>
      <c r="M12" s="10">
        <v>0</v>
      </c>
      <c r="N12" s="10">
        <f t="shared" si="1"/>
        <v>121.63300000000001</v>
      </c>
      <c r="O12" s="11">
        <v>568.42999999999995</v>
      </c>
      <c r="P12" s="10">
        <v>10.48</v>
      </c>
      <c r="Q12" s="10">
        <v>154.46</v>
      </c>
      <c r="R12" s="10">
        <v>0</v>
      </c>
      <c r="S12" s="10">
        <v>0.5</v>
      </c>
      <c r="T12" s="11">
        <f t="shared" si="2"/>
        <v>578.91</v>
      </c>
      <c r="U12" s="11">
        <f t="shared" si="3"/>
        <v>2354.032999999999</v>
      </c>
      <c r="V12" s="12"/>
      <c r="W12" s="12"/>
    </row>
    <row r="13" spans="1:183" ht="42.75" customHeight="1">
      <c r="A13" s="8">
        <v>6</v>
      </c>
      <c r="B13" s="9" t="s">
        <v>20</v>
      </c>
      <c r="C13" s="10">
        <v>1023.7699999999998</v>
      </c>
      <c r="D13" s="10">
        <v>0</v>
      </c>
      <c r="E13" s="10">
        <v>0</v>
      </c>
      <c r="F13" s="10">
        <v>0</v>
      </c>
      <c r="G13" s="10">
        <v>0</v>
      </c>
      <c r="H13" s="10">
        <f t="shared" si="0"/>
        <v>1023.7699999999998</v>
      </c>
      <c r="I13" s="10">
        <v>147.79400000000007</v>
      </c>
      <c r="J13" s="39">
        <v>0.52</v>
      </c>
      <c r="K13" s="10">
        <v>5.8599999999999994</v>
      </c>
      <c r="L13" s="10">
        <v>0</v>
      </c>
      <c r="M13" s="10">
        <v>0</v>
      </c>
      <c r="N13" s="10">
        <f t="shared" si="1"/>
        <v>148.31400000000008</v>
      </c>
      <c r="O13" s="11">
        <v>85.86</v>
      </c>
      <c r="P13" s="10">
        <v>0.67</v>
      </c>
      <c r="Q13" s="10">
        <v>1.21</v>
      </c>
      <c r="R13" s="10">
        <v>0</v>
      </c>
      <c r="S13" s="10">
        <v>0</v>
      </c>
      <c r="T13" s="11">
        <f t="shared" si="2"/>
        <v>86.53</v>
      </c>
      <c r="U13" s="11">
        <f t="shared" si="3"/>
        <v>1258.6139999999998</v>
      </c>
      <c r="V13" s="12"/>
      <c r="W13" s="12"/>
    </row>
    <row r="14" spans="1:183" ht="42.75" customHeight="1">
      <c r="A14" s="8">
        <v>7</v>
      </c>
      <c r="B14" s="9" t="s">
        <v>21</v>
      </c>
      <c r="C14" s="10">
        <v>2084.5799999999995</v>
      </c>
      <c r="D14" s="10">
        <v>0</v>
      </c>
      <c r="E14" s="10">
        <v>0.15</v>
      </c>
      <c r="F14" s="10">
        <v>0</v>
      </c>
      <c r="G14" s="10">
        <v>0</v>
      </c>
      <c r="H14" s="10">
        <f t="shared" si="0"/>
        <v>2084.5799999999995</v>
      </c>
      <c r="I14" s="10">
        <v>192.48399999999998</v>
      </c>
      <c r="J14" s="40">
        <v>1.37</v>
      </c>
      <c r="K14" s="10">
        <v>14.446999999999999</v>
      </c>
      <c r="L14" s="10">
        <v>0</v>
      </c>
      <c r="M14" s="10">
        <v>0</v>
      </c>
      <c r="N14" s="10">
        <f t="shared" si="1"/>
        <v>193.85399999999998</v>
      </c>
      <c r="O14" s="11">
        <v>343.70999999999992</v>
      </c>
      <c r="P14" s="10">
        <v>8.4499999999999993</v>
      </c>
      <c r="Q14" s="10">
        <v>34</v>
      </c>
      <c r="R14" s="10">
        <v>0</v>
      </c>
      <c r="S14" s="10">
        <v>0</v>
      </c>
      <c r="T14" s="11">
        <f t="shared" si="2"/>
        <v>352.15999999999991</v>
      </c>
      <c r="U14" s="11">
        <f t="shared" si="3"/>
        <v>2630.5939999999991</v>
      </c>
      <c r="V14" s="12"/>
      <c r="W14" s="12"/>
    </row>
    <row r="15" spans="1:183" s="17" customFormat="1" ht="42.75" customHeight="1">
      <c r="A15" s="14" t="s">
        <v>22</v>
      </c>
      <c r="B15" s="15" t="s">
        <v>23</v>
      </c>
      <c r="C15" s="16">
        <v>4761.8399999999983</v>
      </c>
      <c r="D15" s="16">
        <v>0</v>
      </c>
      <c r="E15" s="16">
        <v>0.15</v>
      </c>
      <c r="F15" s="16">
        <v>0</v>
      </c>
      <c r="G15" s="16">
        <v>191.14</v>
      </c>
      <c r="H15" s="16">
        <f t="shared" si="0"/>
        <v>4761.8399999999983</v>
      </c>
      <c r="I15" s="16">
        <v>461.79100000000005</v>
      </c>
      <c r="J15" s="16">
        <v>2.0100000000000002</v>
      </c>
      <c r="K15" s="16">
        <v>22.137</v>
      </c>
      <c r="L15" s="16">
        <v>0</v>
      </c>
      <c r="M15" s="16">
        <v>0</v>
      </c>
      <c r="N15" s="16">
        <f t="shared" si="1"/>
        <v>463.80100000000004</v>
      </c>
      <c r="O15" s="16">
        <v>997.99999999999989</v>
      </c>
      <c r="P15" s="16">
        <v>19.600000000000001</v>
      </c>
      <c r="Q15" s="16">
        <v>189.67000000000002</v>
      </c>
      <c r="R15" s="16">
        <v>0</v>
      </c>
      <c r="S15" s="16">
        <v>0.5</v>
      </c>
      <c r="T15" s="47">
        <f t="shared" si="2"/>
        <v>1017.5999999999999</v>
      </c>
      <c r="U15" s="47">
        <f t="shared" si="3"/>
        <v>6243.2409999999982</v>
      </c>
      <c r="V15" s="46"/>
      <c r="W15" s="46"/>
    </row>
    <row r="16" spans="1:183" ht="42.75" customHeight="1">
      <c r="A16" s="8">
        <v>8</v>
      </c>
      <c r="B16" s="9" t="s">
        <v>24</v>
      </c>
      <c r="C16" s="10">
        <v>1757.4019999999991</v>
      </c>
      <c r="D16" s="10">
        <v>2.2599999999999998</v>
      </c>
      <c r="E16" s="10">
        <v>22.555999999999997</v>
      </c>
      <c r="F16" s="10">
        <v>13.05</v>
      </c>
      <c r="G16" s="10">
        <v>64.98</v>
      </c>
      <c r="H16" s="10">
        <f t="shared" si="0"/>
        <v>1746.6119999999992</v>
      </c>
      <c r="I16" s="10">
        <v>110.88000000000002</v>
      </c>
      <c r="J16" s="10">
        <v>0.14000000000000001</v>
      </c>
      <c r="K16" s="10">
        <v>1.5960000000000001</v>
      </c>
      <c r="L16" s="10">
        <v>0</v>
      </c>
      <c r="M16" s="10">
        <v>0</v>
      </c>
      <c r="N16" s="10">
        <f t="shared" si="1"/>
        <v>111.02000000000002</v>
      </c>
      <c r="O16" s="11">
        <v>110.64899999999999</v>
      </c>
      <c r="P16" s="10">
        <v>0.75</v>
      </c>
      <c r="Q16" s="10">
        <v>34.690000000000005</v>
      </c>
      <c r="R16" s="10">
        <v>0</v>
      </c>
      <c r="S16" s="10">
        <v>0</v>
      </c>
      <c r="T16" s="11">
        <f t="shared" si="2"/>
        <v>111.39899999999999</v>
      </c>
      <c r="U16" s="11">
        <f t="shared" si="3"/>
        <v>1969.030999999999</v>
      </c>
      <c r="V16" s="12"/>
      <c r="W16" s="12"/>
    </row>
    <row r="17" spans="1:23" ht="57.75" customHeight="1">
      <c r="A17" s="8">
        <v>9</v>
      </c>
      <c r="B17" s="9" t="s">
        <v>25</v>
      </c>
      <c r="C17" s="10">
        <v>199.43399999999986</v>
      </c>
      <c r="D17" s="10">
        <v>0</v>
      </c>
      <c r="E17" s="10">
        <v>0</v>
      </c>
      <c r="F17" s="10">
        <v>0</v>
      </c>
      <c r="G17" s="10">
        <v>77.06</v>
      </c>
      <c r="H17" s="10">
        <f t="shared" si="0"/>
        <v>199.43399999999986</v>
      </c>
      <c r="I17" s="10">
        <v>21.926999999999992</v>
      </c>
      <c r="J17" s="10">
        <v>0.15</v>
      </c>
      <c r="K17" s="10">
        <v>9.35</v>
      </c>
      <c r="L17" s="10">
        <v>0</v>
      </c>
      <c r="M17" s="10">
        <v>4.09</v>
      </c>
      <c r="N17" s="10">
        <f t="shared" si="1"/>
        <v>22.076999999999991</v>
      </c>
      <c r="O17" s="11">
        <v>408.27100000000002</v>
      </c>
      <c r="P17" s="10">
        <v>0</v>
      </c>
      <c r="Q17" s="10">
        <v>50.24</v>
      </c>
      <c r="R17" s="10">
        <v>0</v>
      </c>
      <c r="S17" s="10">
        <v>0</v>
      </c>
      <c r="T17" s="11">
        <f t="shared" si="2"/>
        <v>408.27100000000002</v>
      </c>
      <c r="U17" s="11">
        <f t="shared" si="3"/>
        <v>629.78199999999993</v>
      </c>
      <c r="V17" s="12"/>
      <c r="W17" s="12"/>
    </row>
    <row r="18" spans="1:23" ht="42.75" customHeight="1">
      <c r="A18" s="8">
        <v>10</v>
      </c>
      <c r="B18" s="9" t="s">
        <v>26</v>
      </c>
      <c r="C18" s="10">
        <v>669.86499999999933</v>
      </c>
      <c r="D18" s="10">
        <v>0</v>
      </c>
      <c r="E18" s="10">
        <v>2.0100000000000002</v>
      </c>
      <c r="F18" s="10">
        <v>0</v>
      </c>
      <c r="G18" s="10">
        <v>131.94999999999999</v>
      </c>
      <c r="H18" s="10">
        <f t="shared" si="0"/>
        <v>669.86499999999933</v>
      </c>
      <c r="I18" s="10">
        <v>16.31999999999999</v>
      </c>
      <c r="J18" s="10">
        <v>0.05</v>
      </c>
      <c r="K18" s="10">
        <v>0.2</v>
      </c>
      <c r="L18" s="10">
        <v>0</v>
      </c>
      <c r="M18" s="10">
        <v>0</v>
      </c>
      <c r="N18" s="10">
        <f t="shared" si="1"/>
        <v>16.36999999999999</v>
      </c>
      <c r="O18" s="11">
        <v>194.74799999999999</v>
      </c>
      <c r="P18" s="10">
        <v>0.15</v>
      </c>
      <c r="Q18" s="10">
        <v>134.44</v>
      </c>
      <c r="R18" s="10">
        <v>0</v>
      </c>
      <c r="S18" s="10">
        <v>0</v>
      </c>
      <c r="T18" s="11">
        <f t="shared" si="2"/>
        <v>194.898</v>
      </c>
      <c r="U18" s="11">
        <f t="shared" si="3"/>
        <v>881.13299999999936</v>
      </c>
      <c r="V18" s="12"/>
      <c r="W18" s="12"/>
    </row>
    <row r="19" spans="1:23" s="17" customFormat="1" ht="42.75" customHeight="1">
      <c r="A19" s="14"/>
      <c r="B19" s="15" t="s">
        <v>27</v>
      </c>
      <c r="C19" s="16">
        <v>2626.7009999999982</v>
      </c>
      <c r="D19" s="16">
        <v>2.2599999999999998</v>
      </c>
      <c r="E19" s="16">
        <v>24.565999999999999</v>
      </c>
      <c r="F19" s="16">
        <v>13.05</v>
      </c>
      <c r="G19" s="16">
        <v>273.99</v>
      </c>
      <c r="H19" s="16">
        <f t="shared" si="0"/>
        <v>2615.9109999999982</v>
      </c>
      <c r="I19" s="16">
        <v>149.12700000000001</v>
      </c>
      <c r="J19" s="16">
        <v>0.34</v>
      </c>
      <c r="K19" s="16">
        <v>11.145999999999999</v>
      </c>
      <c r="L19" s="16">
        <v>0</v>
      </c>
      <c r="M19" s="16">
        <v>4.09</v>
      </c>
      <c r="N19" s="16">
        <f t="shared" si="1"/>
        <v>149.46700000000001</v>
      </c>
      <c r="O19" s="16">
        <v>713.66799999999989</v>
      </c>
      <c r="P19" s="16">
        <v>0.9</v>
      </c>
      <c r="Q19" s="16">
        <v>219.37</v>
      </c>
      <c r="R19" s="16">
        <v>0</v>
      </c>
      <c r="S19" s="16">
        <v>0</v>
      </c>
      <c r="T19" s="47">
        <f t="shared" si="2"/>
        <v>714.56799999999987</v>
      </c>
      <c r="U19" s="47">
        <f t="shared" si="3"/>
        <v>3479.9459999999981</v>
      </c>
      <c r="V19" s="46"/>
      <c r="W19" s="46"/>
    </row>
    <row r="20" spans="1:23" ht="42.75" customHeight="1">
      <c r="A20" s="8">
        <v>11</v>
      </c>
      <c r="B20" s="9" t="s">
        <v>28</v>
      </c>
      <c r="C20" s="10">
        <v>1203.5449999999994</v>
      </c>
      <c r="D20" s="10">
        <v>0</v>
      </c>
      <c r="E20" s="10">
        <v>9.7349999999999994</v>
      </c>
      <c r="F20" s="10">
        <v>0</v>
      </c>
      <c r="G20" s="10">
        <v>56</v>
      </c>
      <c r="H20" s="10">
        <f t="shared" si="0"/>
        <v>1203.5449999999994</v>
      </c>
      <c r="I20" s="10">
        <v>152.16100000000003</v>
      </c>
      <c r="J20" s="10">
        <v>0.14000000000000001</v>
      </c>
      <c r="K20" s="10">
        <v>5.1260000000000003</v>
      </c>
      <c r="L20" s="10">
        <v>0</v>
      </c>
      <c r="M20" s="10">
        <v>0</v>
      </c>
      <c r="N20" s="10">
        <f t="shared" si="1"/>
        <v>152.30100000000002</v>
      </c>
      <c r="O20" s="11">
        <v>341.65099999999995</v>
      </c>
      <c r="P20" s="10">
        <v>0.28000000000000003</v>
      </c>
      <c r="Q20" s="10">
        <v>57.207000000000001</v>
      </c>
      <c r="R20" s="10">
        <v>0</v>
      </c>
      <c r="S20" s="10">
        <v>0</v>
      </c>
      <c r="T20" s="11">
        <f t="shared" si="2"/>
        <v>341.93099999999993</v>
      </c>
      <c r="U20" s="11">
        <f t="shared" si="3"/>
        <v>1697.7769999999991</v>
      </c>
      <c r="V20" s="12"/>
      <c r="W20" s="12"/>
    </row>
    <row r="21" spans="1:23" ht="42.75" customHeight="1">
      <c r="A21" s="8">
        <v>12</v>
      </c>
      <c r="B21" s="9" t="s">
        <v>29</v>
      </c>
      <c r="C21" s="10">
        <v>142.68999999999988</v>
      </c>
      <c r="D21" s="10">
        <v>0</v>
      </c>
      <c r="E21" s="10">
        <v>0.1</v>
      </c>
      <c r="F21" s="10">
        <v>0</v>
      </c>
      <c r="G21" s="10">
        <v>98.039999999999992</v>
      </c>
      <c r="H21" s="10">
        <f t="shared" si="0"/>
        <v>142.68999999999988</v>
      </c>
      <c r="I21" s="10">
        <v>50.043000000000021</v>
      </c>
      <c r="J21" s="10">
        <v>0.12</v>
      </c>
      <c r="K21" s="10">
        <v>25.560000000000002</v>
      </c>
      <c r="L21" s="10">
        <v>0</v>
      </c>
      <c r="M21" s="10">
        <v>0</v>
      </c>
      <c r="N21" s="10">
        <f t="shared" si="1"/>
        <v>50.163000000000018</v>
      </c>
      <c r="O21" s="11">
        <v>266.5</v>
      </c>
      <c r="P21" s="10">
        <v>0</v>
      </c>
      <c r="Q21" s="10">
        <v>114.57</v>
      </c>
      <c r="R21" s="10">
        <v>0</v>
      </c>
      <c r="S21" s="10">
        <v>0</v>
      </c>
      <c r="T21" s="11">
        <f t="shared" si="2"/>
        <v>266.5</v>
      </c>
      <c r="U21" s="11">
        <f t="shared" si="3"/>
        <v>459.35299999999989</v>
      </c>
      <c r="V21" s="12"/>
      <c r="W21" s="12"/>
    </row>
    <row r="22" spans="1:23" ht="42.75" customHeight="1">
      <c r="A22" s="8">
        <v>13</v>
      </c>
      <c r="B22" s="9" t="s">
        <v>30</v>
      </c>
      <c r="C22" s="10">
        <v>406.87999999999988</v>
      </c>
      <c r="D22" s="10">
        <v>0</v>
      </c>
      <c r="E22" s="10">
        <v>0.08</v>
      </c>
      <c r="F22" s="10">
        <v>379.81</v>
      </c>
      <c r="G22" s="10">
        <v>649.52</v>
      </c>
      <c r="H22" s="10">
        <f t="shared" si="0"/>
        <v>27.069999999999879</v>
      </c>
      <c r="I22" s="10">
        <v>15.410000000000005</v>
      </c>
      <c r="J22" s="10">
        <v>0.19</v>
      </c>
      <c r="K22" s="10">
        <v>2.4300000000000002</v>
      </c>
      <c r="L22" s="10">
        <v>0</v>
      </c>
      <c r="M22" s="10">
        <v>12.74</v>
      </c>
      <c r="N22" s="10">
        <f t="shared" si="1"/>
        <v>15.600000000000005</v>
      </c>
      <c r="O22" s="11">
        <v>585.8599999999999</v>
      </c>
      <c r="P22" s="10">
        <v>158.59</v>
      </c>
      <c r="Q22" s="10">
        <v>459.15999999999997</v>
      </c>
      <c r="R22" s="10">
        <v>72.94</v>
      </c>
      <c r="S22" s="10">
        <v>78.66</v>
      </c>
      <c r="T22" s="11">
        <f t="shared" si="2"/>
        <v>671.51</v>
      </c>
      <c r="U22" s="11">
        <f t="shared" si="3"/>
        <v>714.17999999999984</v>
      </c>
      <c r="V22" s="12"/>
      <c r="W22" s="12"/>
    </row>
    <row r="23" spans="1:23" ht="42.75" customHeight="1">
      <c r="A23" s="8">
        <v>14</v>
      </c>
      <c r="B23" s="9" t="s">
        <v>31</v>
      </c>
      <c r="C23" s="10">
        <v>1179.2119999999998</v>
      </c>
      <c r="D23" s="10">
        <v>0</v>
      </c>
      <c r="E23" s="10">
        <v>44.435999999999993</v>
      </c>
      <c r="F23" s="10">
        <v>6.25</v>
      </c>
      <c r="G23" s="10">
        <v>9.65</v>
      </c>
      <c r="H23" s="10">
        <f t="shared" si="0"/>
        <v>1172.9619999999998</v>
      </c>
      <c r="I23" s="10">
        <v>12.113999999999997</v>
      </c>
      <c r="J23" s="10">
        <v>3.18</v>
      </c>
      <c r="K23" s="10">
        <v>5.1440000000000001</v>
      </c>
      <c r="L23" s="10">
        <v>0</v>
      </c>
      <c r="M23" s="10">
        <v>0</v>
      </c>
      <c r="N23" s="10">
        <f t="shared" si="1"/>
        <v>15.293999999999997</v>
      </c>
      <c r="O23" s="11">
        <v>160.58500000000001</v>
      </c>
      <c r="P23" s="10">
        <v>6.7</v>
      </c>
      <c r="Q23" s="10">
        <v>111.70500000000001</v>
      </c>
      <c r="R23" s="10">
        <v>0</v>
      </c>
      <c r="S23" s="10">
        <v>89.99</v>
      </c>
      <c r="T23" s="11">
        <f t="shared" si="2"/>
        <v>167.285</v>
      </c>
      <c r="U23" s="11">
        <f t="shared" si="3"/>
        <v>1355.5409999999999</v>
      </c>
      <c r="V23" s="12"/>
      <c r="W23" s="12"/>
    </row>
    <row r="24" spans="1:23" s="17" customFormat="1" ht="42.75" customHeight="1">
      <c r="A24" s="14"/>
      <c r="B24" s="15" t="s">
        <v>32</v>
      </c>
      <c r="C24" s="16">
        <v>2932.3269999999989</v>
      </c>
      <c r="D24" s="16">
        <v>0</v>
      </c>
      <c r="E24" s="16">
        <v>54.350999999999992</v>
      </c>
      <c r="F24" s="16">
        <v>386.06</v>
      </c>
      <c r="G24" s="16">
        <v>813.20999999999992</v>
      </c>
      <c r="H24" s="16">
        <f t="shared" si="0"/>
        <v>2546.2669999999989</v>
      </c>
      <c r="I24" s="16">
        <v>229.72800000000007</v>
      </c>
      <c r="J24" s="16">
        <v>3.6300000000000003</v>
      </c>
      <c r="K24" s="16">
        <v>38.260000000000005</v>
      </c>
      <c r="L24" s="16">
        <v>0</v>
      </c>
      <c r="M24" s="16">
        <v>12.74</v>
      </c>
      <c r="N24" s="16">
        <f t="shared" si="1"/>
        <v>233.35800000000006</v>
      </c>
      <c r="O24" s="16">
        <v>1354.596</v>
      </c>
      <c r="P24" s="16">
        <v>165.57</v>
      </c>
      <c r="Q24" s="16">
        <v>742.64199999999994</v>
      </c>
      <c r="R24" s="16">
        <v>72.94</v>
      </c>
      <c r="S24" s="16">
        <v>168.64999999999998</v>
      </c>
      <c r="T24" s="47">
        <f t="shared" si="2"/>
        <v>1447.2259999999999</v>
      </c>
      <c r="U24" s="47">
        <f t="shared" si="3"/>
        <v>4226.8509999999987</v>
      </c>
      <c r="V24" s="46"/>
      <c r="W24" s="46"/>
    </row>
    <row r="25" spans="1:23" s="17" customFormat="1" ht="42.75" customHeight="1">
      <c r="A25" s="14"/>
      <c r="B25" s="15" t="s">
        <v>33</v>
      </c>
      <c r="C25" s="16">
        <v>12091.832999999995</v>
      </c>
      <c r="D25" s="16">
        <v>2.2599999999999998</v>
      </c>
      <c r="E25" s="16">
        <v>79.936999999999998</v>
      </c>
      <c r="F25" s="16">
        <v>767.6</v>
      </c>
      <c r="G25" s="16">
        <v>1780.0799999999997</v>
      </c>
      <c r="H25" s="16">
        <f t="shared" si="0"/>
        <v>11326.492999999995</v>
      </c>
      <c r="I25" s="16">
        <v>1495.0560000000003</v>
      </c>
      <c r="J25" s="16">
        <v>8.6620000000000008</v>
      </c>
      <c r="K25" s="16">
        <v>103.876</v>
      </c>
      <c r="L25" s="16">
        <v>66.89</v>
      </c>
      <c r="M25" s="16">
        <v>83.72</v>
      </c>
      <c r="N25" s="16">
        <f t="shared" si="1"/>
        <v>1436.8280000000002</v>
      </c>
      <c r="O25" s="16">
        <v>3788.3140000000003</v>
      </c>
      <c r="P25" s="16">
        <v>327.14999999999998</v>
      </c>
      <c r="Q25" s="16">
        <v>1313.732</v>
      </c>
      <c r="R25" s="16">
        <v>90.14</v>
      </c>
      <c r="S25" s="16">
        <v>232.34999999999997</v>
      </c>
      <c r="T25" s="47">
        <f t="shared" si="2"/>
        <v>4025.3240000000001</v>
      </c>
      <c r="U25" s="47">
        <f t="shared" si="3"/>
        <v>16788.644999999993</v>
      </c>
      <c r="V25" s="46"/>
      <c r="W25" s="46"/>
    </row>
    <row r="26" spans="1:23" ht="42.75" customHeight="1">
      <c r="A26" s="8">
        <v>15</v>
      </c>
      <c r="B26" s="9" t="s">
        <v>34</v>
      </c>
      <c r="C26" s="10">
        <v>1178.3619999999994</v>
      </c>
      <c r="D26" s="10">
        <v>5.28</v>
      </c>
      <c r="E26" s="10">
        <v>89.915000000000006</v>
      </c>
      <c r="F26" s="10">
        <v>0</v>
      </c>
      <c r="G26" s="10">
        <v>0</v>
      </c>
      <c r="H26" s="10">
        <f t="shared" si="0"/>
        <v>1183.6419999999994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f t="shared" si="1"/>
        <v>0</v>
      </c>
      <c r="O26" s="11">
        <v>107.56</v>
      </c>
      <c r="P26" s="10">
        <v>22</v>
      </c>
      <c r="Q26" s="10">
        <v>129.56</v>
      </c>
      <c r="R26" s="10">
        <v>0</v>
      </c>
      <c r="S26" s="10">
        <v>0</v>
      </c>
      <c r="T26" s="11">
        <f t="shared" si="2"/>
        <v>129.56</v>
      </c>
      <c r="U26" s="11">
        <f t="shared" si="3"/>
        <v>1313.2019999999993</v>
      </c>
      <c r="V26" s="12"/>
      <c r="W26" s="12"/>
    </row>
    <row r="27" spans="1:23" ht="42.75" customHeight="1">
      <c r="A27" s="8">
        <v>16</v>
      </c>
      <c r="B27" s="9" t="s">
        <v>67</v>
      </c>
      <c r="C27" s="10">
        <v>10280.406999999992</v>
      </c>
      <c r="D27" s="10">
        <v>17.78</v>
      </c>
      <c r="E27" s="10">
        <v>142.61000000000001</v>
      </c>
      <c r="F27" s="10">
        <v>0</v>
      </c>
      <c r="G27" s="10">
        <v>0</v>
      </c>
      <c r="H27" s="10">
        <f t="shared" si="0"/>
        <v>10298.186999999993</v>
      </c>
      <c r="I27" s="10">
        <v>375.39499999999992</v>
      </c>
      <c r="J27" s="10">
        <v>9.64</v>
      </c>
      <c r="K27" s="10">
        <v>53.52</v>
      </c>
      <c r="L27" s="10">
        <v>0</v>
      </c>
      <c r="M27" s="10">
        <v>0</v>
      </c>
      <c r="N27" s="10">
        <f t="shared" si="1"/>
        <v>385.03499999999991</v>
      </c>
      <c r="O27" s="11">
        <v>75.02000000000001</v>
      </c>
      <c r="P27" s="10">
        <v>0.33</v>
      </c>
      <c r="Q27" s="10">
        <v>0.39</v>
      </c>
      <c r="R27" s="10">
        <v>0</v>
      </c>
      <c r="S27" s="10">
        <v>0</v>
      </c>
      <c r="T27" s="11">
        <f t="shared" si="2"/>
        <v>75.350000000000009</v>
      </c>
      <c r="U27" s="11">
        <f t="shared" si="3"/>
        <v>10758.571999999993</v>
      </c>
      <c r="V27" s="12"/>
      <c r="W27" s="12"/>
    </row>
    <row r="28" spans="1:23" s="17" customFormat="1" ht="42.75" customHeight="1">
      <c r="A28" s="14"/>
      <c r="B28" s="15" t="s">
        <v>35</v>
      </c>
      <c r="C28" s="16">
        <v>11458.768999999991</v>
      </c>
      <c r="D28" s="16">
        <v>23.060000000000002</v>
      </c>
      <c r="E28" s="16">
        <v>232.52500000000003</v>
      </c>
      <c r="F28" s="16">
        <v>0</v>
      </c>
      <c r="G28" s="16">
        <v>0</v>
      </c>
      <c r="H28" s="16">
        <f t="shared" si="0"/>
        <v>11481.828999999991</v>
      </c>
      <c r="I28" s="16">
        <v>375.39499999999992</v>
      </c>
      <c r="J28" s="16">
        <v>9.64</v>
      </c>
      <c r="K28" s="16">
        <v>53.52</v>
      </c>
      <c r="L28" s="16">
        <v>0</v>
      </c>
      <c r="M28" s="16">
        <v>0</v>
      </c>
      <c r="N28" s="16">
        <f t="shared" si="1"/>
        <v>385.03499999999991</v>
      </c>
      <c r="O28" s="16">
        <v>182.58</v>
      </c>
      <c r="P28" s="16">
        <v>22.33</v>
      </c>
      <c r="Q28" s="16">
        <v>129.94999999999999</v>
      </c>
      <c r="R28" s="16">
        <v>0</v>
      </c>
      <c r="S28" s="16">
        <v>0</v>
      </c>
      <c r="T28" s="47">
        <f t="shared" si="2"/>
        <v>204.91000000000003</v>
      </c>
      <c r="U28" s="47">
        <f t="shared" si="3"/>
        <v>12071.77399999999</v>
      </c>
      <c r="V28" s="46"/>
      <c r="W28" s="46"/>
    </row>
    <row r="29" spans="1:23" ht="42.75" customHeight="1">
      <c r="A29" s="8">
        <v>17</v>
      </c>
      <c r="B29" s="9" t="s">
        <v>36</v>
      </c>
      <c r="C29" s="10">
        <v>4459.063000000001</v>
      </c>
      <c r="D29" s="10">
        <v>5.27</v>
      </c>
      <c r="E29" s="10">
        <v>69.505999999999986</v>
      </c>
      <c r="F29" s="10">
        <v>0</v>
      </c>
      <c r="G29" s="10">
        <v>0</v>
      </c>
      <c r="H29" s="10">
        <f t="shared" si="0"/>
        <v>4464.3330000000014</v>
      </c>
      <c r="I29" s="10">
        <v>63.889999999999993</v>
      </c>
      <c r="J29" s="10">
        <v>7.8</v>
      </c>
      <c r="K29" s="10">
        <v>68.11999999999999</v>
      </c>
      <c r="L29" s="10">
        <v>0</v>
      </c>
      <c r="M29" s="10">
        <v>0</v>
      </c>
      <c r="N29" s="10">
        <f t="shared" si="1"/>
        <v>71.69</v>
      </c>
      <c r="O29" s="11">
        <v>138.08000000000001</v>
      </c>
      <c r="P29" s="10">
        <v>0</v>
      </c>
      <c r="Q29" s="10">
        <v>90.28</v>
      </c>
      <c r="R29" s="10">
        <v>0</v>
      </c>
      <c r="S29" s="10">
        <v>0</v>
      </c>
      <c r="T29" s="11">
        <f t="shared" si="2"/>
        <v>138.08000000000001</v>
      </c>
      <c r="U29" s="11">
        <f t="shared" si="3"/>
        <v>4674.103000000001</v>
      </c>
      <c r="V29" s="12"/>
      <c r="W29" s="12"/>
    </row>
    <row r="30" spans="1:23" ht="42.75" customHeight="1">
      <c r="A30" s="8">
        <v>18</v>
      </c>
      <c r="B30" s="9" t="s">
        <v>37</v>
      </c>
      <c r="C30" s="10">
        <v>5875.7240000000011</v>
      </c>
      <c r="D30" s="10">
        <v>14.39</v>
      </c>
      <c r="E30" s="10">
        <v>130.79500000000002</v>
      </c>
      <c r="F30" s="10">
        <v>0</v>
      </c>
      <c r="G30" s="10">
        <v>0</v>
      </c>
      <c r="H30" s="10">
        <f t="shared" si="0"/>
        <v>5890.1140000000014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f t="shared" si="1"/>
        <v>0</v>
      </c>
      <c r="O30" s="11">
        <v>0.22</v>
      </c>
      <c r="P30" s="10">
        <v>0</v>
      </c>
      <c r="Q30" s="10">
        <v>0</v>
      </c>
      <c r="R30" s="10">
        <v>0</v>
      </c>
      <c r="S30" s="10">
        <v>0</v>
      </c>
      <c r="T30" s="11">
        <f t="shared" si="2"/>
        <v>0.22</v>
      </c>
      <c r="U30" s="11">
        <f t="shared" si="3"/>
        <v>5890.3340000000017</v>
      </c>
      <c r="V30" s="12"/>
      <c r="W30" s="12"/>
    </row>
    <row r="31" spans="1:23" ht="42.75" customHeight="1">
      <c r="A31" s="8">
        <v>19</v>
      </c>
      <c r="B31" s="9" t="s">
        <v>38</v>
      </c>
      <c r="C31" s="10">
        <v>3064.3929999999996</v>
      </c>
      <c r="D31" s="10">
        <v>9.67</v>
      </c>
      <c r="E31" s="10">
        <v>67.418000000000006</v>
      </c>
      <c r="F31" s="10">
        <v>0</v>
      </c>
      <c r="G31" s="10">
        <v>0</v>
      </c>
      <c r="H31" s="10">
        <f t="shared" si="0"/>
        <v>3074.0629999999996</v>
      </c>
      <c r="I31" s="10">
        <v>3.1600000000000037</v>
      </c>
      <c r="J31" s="10">
        <v>0</v>
      </c>
      <c r="K31" s="10">
        <v>0</v>
      </c>
      <c r="L31" s="10">
        <v>0</v>
      </c>
      <c r="M31" s="10">
        <v>0</v>
      </c>
      <c r="N31" s="10">
        <f t="shared" si="1"/>
        <v>3.1600000000000037</v>
      </c>
      <c r="O31" s="11">
        <v>128.47999999999999</v>
      </c>
      <c r="P31" s="10">
        <v>0</v>
      </c>
      <c r="Q31" s="10">
        <v>80.19</v>
      </c>
      <c r="R31" s="10">
        <v>0</v>
      </c>
      <c r="S31" s="10">
        <v>0</v>
      </c>
      <c r="T31" s="11">
        <f t="shared" si="2"/>
        <v>128.47999999999999</v>
      </c>
      <c r="U31" s="11">
        <f t="shared" si="3"/>
        <v>3205.7029999999995</v>
      </c>
      <c r="V31" s="12"/>
      <c r="W31" s="12"/>
    </row>
    <row r="32" spans="1:23" ht="42.75" customHeight="1">
      <c r="A32" s="8">
        <v>20</v>
      </c>
      <c r="B32" s="9" t="s">
        <v>39</v>
      </c>
      <c r="C32" s="10">
        <v>4432.9799999999996</v>
      </c>
      <c r="D32" s="10">
        <v>3.04</v>
      </c>
      <c r="E32" s="10">
        <v>85.947000000000003</v>
      </c>
      <c r="F32" s="10">
        <v>0</v>
      </c>
      <c r="G32" s="10">
        <v>0</v>
      </c>
      <c r="H32" s="10">
        <f t="shared" si="0"/>
        <v>4436.0199999999995</v>
      </c>
      <c r="I32" s="10">
        <v>133.84</v>
      </c>
      <c r="J32" s="10">
        <v>0</v>
      </c>
      <c r="K32" s="10">
        <v>8.43</v>
      </c>
      <c r="L32" s="10">
        <v>0</v>
      </c>
      <c r="M32" s="10">
        <v>0</v>
      </c>
      <c r="N32" s="10">
        <f t="shared" si="1"/>
        <v>133.84</v>
      </c>
      <c r="O32" s="11">
        <v>271.04999999999995</v>
      </c>
      <c r="P32" s="10">
        <v>0</v>
      </c>
      <c r="Q32" s="10">
        <v>4.5</v>
      </c>
      <c r="R32" s="10">
        <v>0</v>
      </c>
      <c r="S32" s="10">
        <v>0</v>
      </c>
      <c r="T32" s="11">
        <f t="shared" si="2"/>
        <v>271.04999999999995</v>
      </c>
      <c r="U32" s="11">
        <f t="shared" si="3"/>
        <v>4840.91</v>
      </c>
      <c r="V32" s="12"/>
      <c r="W32" s="12"/>
    </row>
    <row r="33" spans="1:23" s="17" customFormat="1" ht="42.75" customHeight="1">
      <c r="A33" s="14"/>
      <c r="B33" s="15" t="s">
        <v>68</v>
      </c>
      <c r="C33" s="16">
        <v>17832.160000000003</v>
      </c>
      <c r="D33" s="16">
        <v>32.369999999999997</v>
      </c>
      <c r="E33" s="16">
        <v>353.666</v>
      </c>
      <c r="F33" s="16">
        <v>0</v>
      </c>
      <c r="G33" s="16">
        <v>0</v>
      </c>
      <c r="H33" s="16">
        <f t="shared" si="0"/>
        <v>17864.530000000002</v>
      </c>
      <c r="I33" s="16">
        <v>200.89</v>
      </c>
      <c r="J33" s="16">
        <v>7.8</v>
      </c>
      <c r="K33" s="16">
        <v>76.549999999999983</v>
      </c>
      <c r="L33" s="16">
        <v>0</v>
      </c>
      <c r="M33" s="16">
        <v>0</v>
      </c>
      <c r="N33" s="16">
        <f t="shared" si="1"/>
        <v>208.69</v>
      </c>
      <c r="O33" s="16">
        <v>537.82999999999993</v>
      </c>
      <c r="P33" s="16">
        <v>0</v>
      </c>
      <c r="Q33" s="16">
        <v>174.97</v>
      </c>
      <c r="R33" s="16">
        <v>0</v>
      </c>
      <c r="S33" s="16">
        <v>0</v>
      </c>
      <c r="T33" s="47">
        <f t="shared" si="2"/>
        <v>537.82999999999993</v>
      </c>
      <c r="U33" s="47">
        <f t="shared" si="3"/>
        <v>18611.050000000003</v>
      </c>
      <c r="V33" s="46"/>
      <c r="W33" s="46"/>
    </row>
    <row r="34" spans="1:23" ht="42.75" customHeight="1">
      <c r="A34" s="8">
        <v>21</v>
      </c>
      <c r="B34" s="9" t="s">
        <v>40</v>
      </c>
      <c r="C34" s="10">
        <v>5858.1000000000013</v>
      </c>
      <c r="D34" s="10">
        <v>8.01</v>
      </c>
      <c r="E34" s="10">
        <v>64.680000000000007</v>
      </c>
      <c r="F34" s="10">
        <v>0</v>
      </c>
      <c r="G34" s="10">
        <v>0</v>
      </c>
      <c r="H34" s="10">
        <f t="shared" si="0"/>
        <v>5866.1100000000015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f t="shared" si="1"/>
        <v>0</v>
      </c>
      <c r="O34" s="11">
        <v>0</v>
      </c>
      <c r="P34" s="10">
        <v>0</v>
      </c>
      <c r="Q34" s="10">
        <v>0</v>
      </c>
      <c r="R34" s="10">
        <v>0</v>
      </c>
      <c r="S34" s="10">
        <v>0</v>
      </c>
      <c r="T34" s="11">
        <f t="shared" si="2"/>
        <v>0</v>
      </c>
      <c r="U34" s="11">
        <f t="shared" si="3"/>
        <v>5866.1100000000015</v>
      </c>
      <c r="V34" s="18"/>
      <c r="W34" s="18"/>
    </row>
    <row r="35" spans="1:23" ht="42.75" customHeight="1">
      <c r="A35" s="8">
        <v>22</v>
      </c>
      <c r="B35" s="9" t="s">
        <v>41</v>
      </c>
      <c r="C35" s="10">
        <v>4605.7650000000003</v>
      </c>
      <c r="D35" s="10">
        <v>19.14</v>
      </c>
      <c r="E35" s="10">
        <v>116.47</v>
      </c>
      <c r="F35" s="10">
        <v>0</v>
      </c>
      <c r="G35" s="10">
        <v>0</v>
      </c>
      <c r="H35" s="10">
        <f t="shared" si="0"/>
        <v>4624.9050000000007</v>
      </c>
      <c r="I35" s="10">
        <v>0.1</v>
      </c>
      <c r="J35" s="10">
        <v>0</v>
      </c>
      <c r="K35" s="10">
        <v>0.1</v>
      </c>
      <c r="L35" s="10">
        <v>0</v>
      </c>
      <c r="M35" s="10">
        <v>0</v>
      </c>
      <c r="N35" s="10">
        <f t="shared" si="1"/>
        <v>0.1</v>
      </c>
      <c r="O35" s="11">
        <v>16.43</v>
      </c>
      <c r="P35" s="10">
        <v>0</v>
      </c>
      <c r="Q35" s="10">
        <v>0</v>
      </c>
      <c r="R35" s="10">
        <v>0</v>
      </c>
      <c r="S35" s="10">
        <v>0</v>
      </c>
      <c r="T35" s="11">
        <f t="shared" si="2"/>
        <v>16.43</v>
      </c>
      <c r="U35" s="11">
        <f t="shared" si="3"/>
        <v>4641.4350000000013</v>
      </c>
      <c r="V35" s="18"/>
      <c r="W35" s="18"/>
    </row>
    <row r="36" spans="1:23" ht="42.75" customHeight="1">
      <c r="A36" s="8">
        <v>23</v>
      </c>
      <c r="B36" s="9" t="s">
        <v>42</v>
      </c>
      <c r="C36" s="10">
        <v>19366.870000000003</v>
      </c>
      <c r="D36" s="10">
        <v>0</v>
      </c>
      <c r="E36" s="10">
        <v>9.2700000000000014</v>
      </c>
      <c r="F36" s="10">
        <v>0</v>
      </c>
      <c r="G36" s="10">
        <v>0</v>
      </c>
      <c r="H36" s="10">
        <f t="shared" si="0"/>
        <v>19366.870000000003</v>
      </c>
      <c r="I36" s="10">
        <v>8.5</v>
      </c>
      <c r="J36" s="10">
        <v>0</v>
      </c>
      <c r="K36" s="10">
        <v>2.17</v>
      </c>
      <c r="L36" s="10">
        <v>0</v>
      </c>
      <c r="M36" s="10">
        <v>0</v>
      </c>
      <c r="N36" s="10">
        <f t="shared" si="1"/>
        <v>8.5</v>
      </c>
      <c r="O36" s="11">
        <v>0</v>
      </c>
      <c r="P36" s="10">
        <v>0</v>
      </c>
      <c r="Q36" s="10">
        <v>0</v>
      </c>
      <c r="R36" s="10">
        <v>0</v>
      </c>
      <c r="S36" s="10">
        <v>0</v>
      </c>
      <c r="T36" s="11">
        <f t="shared" si="2"/>
        <v>0</v>
      </c>
      <c r="U36" s="11">
        <f t="shared" si="3"/>
        <v>19375.370000000003</v>
      </c>
      <c r="V36" s="18"/>
      <c r="W36" s="18"/>
    </row>
    <row r="37" spans="1:23" ht="42.75" customHeight="1">
      <c r="A37" s="8">
        <v>24</v>
      </c>
      <c r="B37" s="9" t="s">
        <v>43</v>
      </c>
      <c r="C37" s="10">
        <v>7006.7999999999984</v>
      </c>
      <c r="D37" s="10">
        <v>0.8</v>
      </c>
      <c r="E37" s="10">
        <v>31.099999999999998</v>
      </c>
      <c r="F37" s="10">
        <v>0</v>
      </c>
      <c r="G37" s="10">
        <v>0</v>
      </c>
      <c r="H37" s="10">
        <f t="shared" si="0"/>
        <v>7007.5999999999985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f t="shared" si="1"/>
        <v>0</v>
      </c>
      <c r="O37" s="11">
        <v>3.1</v>
      </c>
      <c r="P37" s="10">
        <v>0</v>
      </c>
      <c r="Q37" s="10">
        <v>3.44</v>
      </c>
      <c r="R37" s="10">
        <v>0</v>
      </c>
      <c r="S37" s="10">
        <v>0.34</v>
      </c>
      <c r="T37" s="11">
        <f t="shared" si="2"/>
        <v>3.1</v>
      </c>
      <c r="U37" s="11">
        <f t="shared" si="3"/>
        <v>7010.6999999999989</v>
      </c>
      <c r="V37" s="18"/>
      <c r="W37" s="18"/>
    </row>
    <row r="38" spans="1:23" s="17" customFormat="1" ht="42.75" customHeight="1">
      <c r="A38" s="14"/>
      <c r="B38" s="15" t="s">
        <v>44</v>
      </c>
      <c r="C38" s="16">
        <v>36837.535000000003</v>
      </c>
      <c r="D38" s="16">
        <v>27.95</v>
      </c>
      <c r="E38" s="16">
        <v>221.52</v>
      </c>
      <c r="F38" s="16">
        <v>0</v>
      </c>
      <c r="G38" s="16">
        <v>0</v>
      </c>
      <c r="H38" s="16">
        <f t="shared" si="0"/>
        <v>36865.485000000001</v>
      </c>
      <c r="I38" s="16">
        <v>8.6</v>
      </c>
      <c r="J38" s="16">
        <v>0</v>
      </c>
      <c r="K38" s="16">
        <v>2.27</v>
      </c>
      <c r="L38" s="16">
        <v>0</v>
      </c>
      <c r="M38" s="16">
        <v>0</v>
      </c>
      <c r="N38" s="16">
        <f t="shared" si="1"/>
        <v>8.6</v>
      </c>
      <c r="O38" s="16">
        <v>19.53</v>
      </c>
      <c r="P38" s="16">
        <v>0</v>
      </c>
      <c r="Q38" s="16">
        <v>3.44</v>
      </c>
      <c r="R38" s="16">
        <v>0</v>
      </c>
      <c r="S38" s="16">
        <v>0.34</v>
      </c>
      <c r="T38" s="47">
        <f t="shared" si="2"/>
        <v>19.53</v>
      </c>
      <c r="U38" s="47">
        <f t="shared" si="3"/>
        <v>36893.614999999998</v>
      </c>
      <c r="V38" s="46"/>
      <c r="W38" s="46"/>
    </row>
    <row r="39" spans="1:23" s="17" customFormat="1" ht="42.75" customHeight="1">
      <c r="A39" s="14"/>
      <c r="B39" s="15" t="s">
        <v>45</v>
      </c>
      <c r="C39" s="16">
        <v>66128.463999999993</v>
      </c>
      <c r="D39" s="16">
        <v>83.38</v>
      </c>
      <c r="E39" s="16">
        <v>807.71100000000001</v>
      </c>
      <c r="F39" s="16">
        <v>0</v>
      </c>
      <c r="G39" s="16">
        <v>0</v>
      </c>
      <c r="H39" s="16">
        <f t="shared" si="0"/>
        <v>66211.843999999997</v>
      </c>
      <c r="I39" s="16">
        <v>584.88499999999988</v>
      </c>
      <c r="J39" s="16">
        <v>17.440000000000001</v>
      </c>
      <c r="K39" s="16">
        <v>132.33999999999997</v>
      </c>
      <c r="L39" s="16">
        <v>0</v>
      </c>
      <c r="M39" s="16">
        <v>0</v>
      </c>
      <c r="N39" s="16">
        <f t="shared" si="1"/>
        <v>602.32499999999993</v>
      </c>
      <c r="O39" s="16">
        <v>739.93999999999994</v>
      </c>
      <c r="P39" s="16">
        <v>22.33</v>
      </c>
      <c r="Q39" s="16">
        <v>308.36</v>
      </c>
      <c r="R39" s="16">
        <v>0</v>
      </c>
      <c r="S39" s="16">
        <v>0.34</v>
      </c>
      <c r="T39" s="47">
        <f t="shared" si="2"/>
        <v>762.27</v>
      </c>
      <c r="U39" s="47">
        <f t="shared" si="3"/>
        <v>67576.438999999998</v>
      </c>
      <c r="V39" s="46"/>
      <c r="W39" s="46"/>
    </row>
    <row r="40" spans="1:23" ht="42.75" customHeight="1">
      <c r="A40" s="8">
        <v>25</v>
      </c>
      <c r="B40" s="9" t="s">
        <v>46</v>
      </c>
      <c r="C40" s="10">
        <v>13760.038000000002</v>
      </c>
      <c r="D40" s="10">
        <v>25.05</v>
      </c>
      <c r="E40" s="10">
        <v>131.66299999999998</v>
      </c>
      <c r="F40" s="10">
        <v>0</v>
      </c>
      <c r="G40" s="10">
        <v>0</v>
      </c>
      <c r="H40" s="10">
        <f t="shared" si="0"/>
        <v>13785.088000000002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f t="shared" si="1"/>
        <v>0</v>
      </c>
      <c r="O40" s="11">
        <v>0</v>
      </c>
      <c r="P40" s="10">
        <v>0</v>
      </c>
      <c r="Q40" s="10">
        <v>0</v>
      </c>
      <c r="R40" s="10">
        <v>0</v>
      </c>
      <c r="S40" s="10">
        <v>0</v>
      </c>
      <c r="T40" s="11">
        <f t="shared" si="2"/>
        <v>0</v>
      </c>
      <c r="U40" s="11">
        <f t="shared" si="3"/>
        <v>13785.088000000002</v>
      </c>
      <c r="V40" s="12"/>
      <c r="W40" s="12"/>
    </row>
    <row r="41" spans="1:23" ht="42.75" customHeight="1">
      <c r="A41" s="8">
        <v>26</v>
      </c>
      <c r="B41" s="9" t="s">
        <v>47</v>
      </c>
      <c r="C41" s="10">
        <v>9892.6559999999918</v>
      </c>
      <c r="D41" s="10">
        <v>217.06</v>
      </c>
      <c r="E41" s="10">
        <v>460.505</v>
      </c>
      <c r="F41" s="10">
        <v>0</v>
      </c>
      <c r="G41" s="10">
        <v>0</v>
      </c>
      <c r="H41" s="10">
        <f t="shared" si="0"/>
        <v>10109.715999999991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f t="shared" si="1"/>
        <v>0</v>
      </c>
      <c r="O41" s="11">
        <v>0</v>
      </c>
      <c r="P41" s="10">
        <v>0</v>
      </c>
      <c r="Q41" s="10">
        <v>0</v>
      </c>
      <c r="R41" s="10">
        <v>0</v>
      </c>
      <c r="S41" s="10">
        <v>0</v>
      </c>
      <c r="T41" s="11">
        <f t="shared" si="2"/>
        <v>0</v>
      </c>
      <c r="U41" s="11">
        <f t="shared" si="3"/>
        <v>10109.715999999991</v>
      </c>
      <c r="V41" s="12"/>
      <c r="W41" s="12"/>
    </row>
    <row r="42" spans="1:23" ht="42.75" customHeight="1">
      <c r="A42" s="8">
        <v>27</v>
      </c>
      <c r="B42" s="9" t="s">
        <v>48</v>
      </c>
      <c r="C42" s="10">
        <v>23668.304</v>
      </c>
      <c r="D42" s="10">
        <v>205.61</v>
      </c>
      <c r="E42" s="10">
        <v>364.00599999999997</v>
      </c>
      <c r="F42" s="10">
        <v>0</v>
      </c>
      <c r="G42" s="10">
        <v>0</v>
      </c>
      <c r="H42" s="10">
        <f t="shared" si="0"/>
        <v>23873.914000000001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f t="shared" si="1"/>
        <v>0</v>
      </c>
      <c r="O42" s="11">
        <v>0</v>
      </c>
      <c r="P42" s="10">
        <v>0</v>
      </c>
      <c r="Q42" s="10">
        <v>0</v>
      </c>
      <c r="R42" s="10">
        <v>0</v>
      </c>
      <c r="S42" s="10">
        <v>0</v>
      </c>
      <c r="T42" s="11">
        <f t="shared" si="2"/>
        <v>0</v>
      </c>
      <c r="U42" s="11">
        <f t="shared" si="3"/>
        <v>23873.914000000001</v>
      </c>
      <c r="V42" s="12"/>
      <c r="W42" s="12"/>
    </row>
    <row r="43" spans="1:23" ht="42.75" customHeight="1">
      <c r="A43" s="8">
        <v>28</v>
      </c>
      <c r="B43" s="9" t="s">
        <v>49</v>
      </c>
      <c r="C43" s="10">
        <v>2077.123</v>
      </c>
      <c r="D43" s="10">
        <v>209.34</v>
      </c>
      <c r="E43" s="10">
        <v>302.20500000000004</v>
      </c>
      <c r="F43" s="10">
        <v>0</v>
      </c>
      <c r="G43" s="10">
        <v>0</v>
      </c>
      <c r="H43" s="10">
        <f t="shared" si="0"/>
        <v>2286.4630000000002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f t="shared" si="1"/>
        <v>0</v>
      </c>
      <c r="O43" s="11">
        <v>0</v>
      </c>
      <c r="P43" s="10">
        <v>0</v>
      </c>
      <c r="Q43" s="10">
        <v>0</v>
      </c>
      <c r="R43" s="10">
        <v>0</v>
      </c>
      <c r="S43" s="10">
        <v>0</v>
      </c>
      <c r="T43" s="11">
        <f t="shared" si="2"/>
        <v>0</v>
      </c>
      <c r="U43" s="11">
        <f t="shared" si="3"/>
        <v>2286.4630000000002</v>
      </c>
      <c r="V43" s="12"/>
      <c r="W43" s="12"/>
    </row>
    <row r="44" spans="1:23" s="17" customFormat="1" ht="42.75" customHeight="1">
      <c r="A44" s="14"/>
      <c r="B44" s="15" t="s">
        <v>50</v>
      </c>
      <c r="C44" s="16">
        <v>49398.120999999992</v>
      </c>
      <c r="D44" s="16">
        <v>657.06000000000006</v>
      </c>
      <c r="E44" s="16">
        <v>1258.3789999999999</v>
      </c>
      <c r="F44" s="16">
        <v>0</v>
      </c>
      <c r="G44" s="16">
        <v>0</v>
      </c>
      <c r="H44" s="16">
        <f t="shared" si="0"/>
        <v>50055.18099999999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f t="shared" si="1"/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47">
        <f t="shared" si="2"/>
        <v>0</v>
      </c>
      <c r="U44" s="47">
        <f t="shared" si="3"/>
        <v>50055.18099999999</v>
      </c>
      <c r="V44" s="46"/>
      <c r="W44" s="46"/>
    </row>
    <row r="45" spans="1:23" ht="42.75" customHeight="1">
      <c r="A45" s="8">
        <v>29</v>
      </c>
      <c r="B45" s="9" t="s">
        <v>51</v>
      </c>
      <c r="C45" s="10">
        <v>14102.55</v>
      </c>
      <c r="D45" s="10">
        <v>6.67</v>
      </c>
      <c r="E45" s="10">
        <v>133.02000000000001</v>
      </c>
      <c r="F45" s="10">
        <v>0</v>
      </c>
      <c r="G45" s="10">
        <v>43.16</v>
      </c>
      <c r="H45" s="10">
        <f t="shared" si="0"/>
        <v>14109.22</v>
      </c>
      <c r="I45" s="10">
        <v>5.1000000000000005</v>
      </c>
      <c r="J45" s="10">
        <v>1.53</v>
      </c>
      <c r="K45" s="10">
        <v>6.12</v>
      </c>
      <c r="L45" s="10">
        <v>0</v>
      </c>
      <c r="M45" s="10">
        <v>0</v>
      </c>
      <c r="N45" s="10">
        <f t="shared" si="1"/>
        <v>6.6300000000000008</v>
      </c>
      <c r="O45" s="11">
        <v>11.98</v>
      </c>
      <c r="P45" s="10">
        <v>18.189999999999998</v>
      </c>
      <c r="Q45" s="10">
        <v>30.169999999999998</v>
      </c>
      <c r="R45" s="10">
        <v>0</v>
      </c>
      <c r="S45" s="10">
        <v>0</v>
      </c>
      <c r="T45" s="11">
        <f t="shared" si="2"/>
        <v>30.169999999999998</v>
      </c>
      <c r="U45" s="11">
        <f t="shared" si="3"/>
        <v>14146.019999999999</v>
      </c>
      <c r="V45" s="12"/>
      <c r="W45" s="12"/>
    </row>
    <row r="46" spans="1:23" ht="42.75" customHeight="1">
      <c r="A46" s="8">
        <v>30</v>
      </c>
      <c r="B46" s="9" t="s">
        <v>52</v>
      </c>
      <c r="C46" s="10">
        <v>7239.7</v>
      </c>
      <c r="D46" s="10">
        <v>25.66</v>
      </c>
      <c r="E46" s="10">
        <v>145.4</v>
      </c>
      <c r="F46" s="10">
        <v>0</v>
      </c>
      <c r="G46" s="10">
        <v>0</v>
      </c>
      <c r="H46" s="10">
        <f t="shared" si="0"/>
        <v>7265.36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f t="shared" si="1"/>
        <v>0</v>
      </c>
      <c r="O46" s="11">
        <v>5.9</v>
      </c>
      <c r="P46" s="10">
        <v>2</v>
      </c>
      <c r="Q46" s="10">
        <v>7.9</v>
      </c>
      <c r="R46" s="10">
        <v>0</v>
      </c>
      <c r="S46" s="10">
        <v>0</v>
      </c>
      <c r="T46" s="11">
        <f t="shared" si="2"/>
        <v>7.9</v>
      </c>
      <c r="U46" s="11">
        <f t="shared" si="3"/>
        <v>7273.2599999999993</v>
      </c>
      <c r="V46" s="12"/>
      <c r="W46" s="12"/>
    </row>
    <row r="47" spans="1:23" ht="42.75" customHeight="1">
      <c r="A47" s="8">
        <v>31</v>
      </c>
      <c r="B47" s="9" t="s">
        <v>53</v>
      </c>
      <c r="C47" s="10">
        <v>12283.170000000002</v>
      </c>
      <c r="D47" s="10">
        <v>10.09</v>
      </c>
      <c r="E47" s="10">
        <v>92.46</v>
      </c>
      <c r="F47" s="10">
        <v>0</v>
      </c>
      <c r="G47" s="10">
        <v>0</v>
      </c>
      <c r="H47" s="10">
        <f t="shared" si="0"/>
        <v>12293.260000000002</v>
      </c>
      <c r="I47" s="10">
        <v>1.2999999999999998</v>
      </c>
      <c r="J47" s="10">
        <v>0</v>
      </c>
      <c r="K47" s="10">
        <v>0</v>
      </c>
      <c r="L47" s="10">
        <v>0</v>
      </c>
      <c r="M47" s="10">
        <v>0</v>
      </c>
      <c r="N47" s="10">
        <f t="shared" si="1"/>
        <v>1.2999999999999998</v>
      </c>
      <c r="O47" s="11">
        <v>76.37</v>
      </c>
      <c r="P47" s="10">
        <v>9.91</v>
      </c>
      <c r="Q47" s="10">
        <v>39.730000000000004</v>
      </c>
      <c r="R47" s="10">
        <v>0</v>
      </c>
      <c r="S47" s="10">
        <v>0</v>
      </c>
      <c r="T47" s="11">
        <f t="shared" si="2"/>
        <v>86.28</v>
      </c>
      <c r="U47" s="11">
        <f t="shared" si="3"/>
        <v>12380.840000000002</v>
      </c>
      <c r="V47" s="12"/>
      <c r="W47" s="12"/>
    </row>
    <row r="48" spans="1:23" ht="42.75" customHeight="1">
      <c r="A48" s="8">
        <v>32</v>
      </c>
      <c r="B48" s="9" t="s">
        <v>54</v>
      </c>
      <c r="C48" s="10">
        <v>11087.612000000008</v>
      </c>
      <c r="D48" s="10">
        <v>2.58</v>
      </c>
      <c r="E48" s="10">
        <v>40.804999999999993</v>
      </c>
      <c r="F48" s="10">
        <v>0</v>
      </c>
      <c r="G48" s="10">
        <v>0</v>
      </c>
      <c r="H48" s="10">
        <f t="shared" si="0"/>
        <v>11090.192000000008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f t="shared" si="1"/>
        <v>0</v>
      </c>
      <c r="O48" s="11">
        <v>22.5</v>
      </c>
      <c r="P48" s="10">
        <v>7.5</v>
      </c>
      <c r="Q48" s="10">
        <v>30</v>
      </c>
      <c r="R48" s="10">
        <v>0</v>
      </c>
      <c r="S48" s="10">
        <v>0</v>
      </c>
      <c r="T48" s="11">
        <f t="shared" si="2"/>
        <v>30</v>
      </c>
      <c r="U48" s="11">
        <f t="shared" si="3"/>
        <v>11120.192000000008</v>
      </c>
      <c r="V48" s="12"/>
      <c r="W48" s="12"/>
    </row>
    <row r="49" spans="1:23" s="17" customFormat="1" ht="42.75" customHeight="1">
      <c r="A49" s="14"/>
      <c r="B49" s="15" t="s">
        <v>55</v>
      </c>
      <c r="C49" s="16">
        <v>44713.032000000007</v>
      </c>
      <c r="D49" s="16">
        <v>45</v>
      </c>
      <c r="E49" s="16">
        <v>411.685</v>
      </c>
      <c r="F49" s="16">
        <v>0</v>
      </c>
      <c r="G49" s="16">
        <v>43.16</v>
      </c>
      <c r="H49" s="16">
        <f t="shared" si="0"/>
        <v>44758.032000000007</v>
      </c>
      <c r="I49" s="16">
        <v>6.4</v>
      </c>
      <c r="J49" s="16">
        <v>1.53</v>
      </c>
      <c r="K49" s="16">
        <v>6.12</v>
      </c>
      <c r="L49" s="16">
        <v>0</v>
      </c>
      <c r="M49" s="16">
        <v>0</v>
      </c>
      <c r="N49" s="16">
        <f t="shared" si="1"/>
        <v>7.9300000000000006</v>
      </c>
      <c r="O49" s="16">
        <v>116.75</v>
      </c>
      <c r="P49" s="16">
        <v>37.599999999999994</v>
      </c>
      <c r="Q49" s="16">
        <v>107.80000000000001</v>
      </c>
      <c r="R49" s="16">
        <v>0</v>
      </c>
      <c r="S49" s="16">
        <v>0</v>
      </c>
      <c r="T49" s="47">
        <f t="shared" si="2"/>
        <v>154.35</v>
      </c>
      <c r="U49" s="47">
        <f t="shared" si="3"/>
        <v>44920.312000000005</v>
      </c>
      <c r="V49" s="46"/>
      <c r="W49" s="46"/>
    </row>
    <row r="50" spans="1:23" s="17" customFormat="1" ht="42.75" customHeight="1">
      <c r="A50" s="14"/>
      <c r="B50" s="15" t="s">
        <v>56</v>
      </c>
      <c r="C50" s="16">
        <v>94111.152999999991</v>
      </c>
      <c r="D50" s="16">
        <v>702.06000000000006</v>
      </c>
      <c r="E50" s="16">
        <v>1670.0639999999999</v>
      </c>
      <c r="F50" s="16">
        <v>0</v>
      </c>
      <c r="G50" s="16">
        <v>43.16</v>
      </c>
      <c r="H50" s="16">
        <f t="shared" si="0"/>
        <v>94813.212999999989</v>
      </c>
      <c r="I50" s="16">
        <v>6.4</v>
      </c>
      <c r="J50" s="16">
        <v>1.53</v>
      </c>
      <c r="K50" s="16">
        <v>6.12</v>
      </c>
      <c r="L50" s="16">
        <v>0</v>
      </c>
      <c r="M50" s="16">
        <v>0</v>
      </c>
      <c r="N50" s="16">
        <f t="shared" si="1"/>
        <v>7.9300000000000006</v>
      </c>
      <c r="O50" s="16">
        <v>116.75</v>
      </c>
      <c r="P50" s="16">
        <v>37.599999999999994</v>
      </c>
      <c r="Q50" s="16">
        <v>107.80000000000001</v>
      </c>
      <c r="R50" s="16">
        <v>0</v>
      </c>
      <c r="S50" s="16">
        <v>0</v>
      </c>
      <c r="T50" s="47">
        <f t="shared" si="2"/>
        <v>154.35</v>
      </c>
      <c r="U50" s="47">
        <f t="shared" si="3"/>
        <v>94975.492999999988</v>
      </c>
      <c r="V50" s="46"/>
      <c r="W50" s="46"/>
    </row>
    <row r="51" spans="1:23" s="17" customFormat="1" ht="42.75" customHeight="1">
      <c r="A51" s="14"/>
      <c r="B51" s="15" t="s">
        <v>57</v>
      </c>
      <c r="C51" s="16">
        <v>172331.44999999995</v>
      </c>
      <c r="D51" s="16">
        <v>787.7</v>
      </c>
      <c r="E51" s="16">
        <v>2557.7119999999995</v>
      </c>
      <c r="F51" s="16">
        <v>767.6</v>
      </c>
      <c r="G51" s="16">
        <v>1823.2399999999998</v>
      </c>
      <c r="H51" s="58">
        <f t="shared" si="0"/>
        <v>172351.54999999996</v>
      </c>
      <c r="I51" s="16">
        <v>2086.3410000000003</v>
      </c>
      <c r="J51" s="16">
        <v>27.632000000000005</v>
      </c>
      <c r="K51" s="16">
        <v>242.33599999999998</v>
      </c>
      <c r="L51" s="16">
        <v>66.89</v>
      </c>
      <c r="M51" s="16">
        <v>83.72</v>
      </c>
      <c r="N51" s="58">
        <f t="shared" si="1"/>
        <v>2047.0830000000003</v>
      </c>
      <c r="O51" s="16">
        <v>4645.0039999999999</v>
      </c>
      <c r="P51" s="16">
        <v>387.08</v>
      </c>
      <c r="Q51" s="16">
        <v>1729.8920000000001</v>
      </c>
      <c r="R51" s="16">
        <v>90.14</v>
      </c>
      <c r="S51" s="16">
        <v>232.68999999999997</v>
      </c>
      <c r="T51" s="63">
        <f t="shared" si="2"/>
        <v>4941.9439999999995</v>
      </c>
      <c r="U51" s="47">
        <f t="shared" si="3"/>
        <v>179340.57699999996</v>
      </c>
      <c r="V51" s="62"/>
      <c r="W51" s="62"/>
    </row>
    <row r="52" spans="1:23" s="23" customFormat="1" ht="42.75" hidden="1" customHeight="1">
      <c r="A52" s="19"/>
      <c r="B52" s="20"/>
      <c r="C52" s="10" t="e">
        <f>#REF!</f>
        <v>#REF!</v>
      </c>
      <c r="D52" s="21"/>
      <c r="E52" s="10" t="e">
        <f>#REF!+'March 2022'!D52</f>
        <v>#REF!</v>
      </c>
      <c r="F52" s="21"/>
      <c r="G52" s="10" t="e">
        <f>#REF!+'March 2022'!F52</f>
        <v>#REF!</v>
      </c>
      <c r="H52" s="21"/>
      <c r="I52" s="21"/>
      <c r="J52" s="21"/>
      <c r="K52" s="10" t="e">
        <f>#REF!+'March 2022'!J52</f>
        <v>#REF!</v>
      </c>
      <c r="L52" s="21"/>
      <c r="M52" s="10" t="e">
        <f>#REF!+'March 2022'!L52</f>
        <v>#REF!</v>
      </c>
      <c r="N52" s="21"/>
      <c r="O52" s="21"/>
      <c r="P52" s="21"/>
      <c r="Q52" s="10" t="e">
        <f>#REF!+'March 2022'!P52</f>
        <v>#REF!</v>
      </c>
      <c r="R52" s="21"/>
      <c r="S52" s="10" t="e">
        <f>#REF!+'March 2022'!R52</f>
        <v>#REF!</v>
      </c>
      <c r="T52" s="21"/>
      <c r="U52" s="21"/>
      <c r="V52" s="21"/>
      <c r="W52" s="21"/>
    </row>
    <row r="53" spans="1:23" s="23" customFormat="1" hidden="1">
      <c r="A53" s="19"/>
      <c r="B53" s="20"/>
      <c r="C53" s="10" t="e">
        <f>#REF!</f>
        <v>#REF!</v>
      </c>
      <c r="D53" s="21"/>
      <c r="E53" s="10" t="e">
        <f>#REF!+'March 2022'!D53</f>
        <v>#REF!</v>
      </c>
      <c r="F53" s="21"/>
      <c r="G53" s="10" t="e">
        <f>#REF!+'March 2022'!F53</f>
        <v>#REF!</v>
      </c>
      <c r="H53" s="21"/>
      <c r="I53" s="24"/>
      <c r="J53" s="21"/>
      <c r="K53" s="10" t="e">
        <f>#REF!+'March 2022'!J53</f>
        <v>#REF!</v>
      </c>
      <c r="L53" s="21"/>
      <c r="M53" s="10" t="e">
        <f>#REF!+'March 2022'!L53</f>
        <v>#REF!</v>
      </c>
      <c r="N53" s="21"/>
      <c r="O53" s="21"/>
      <c r="P53" s="24"/>
      <c r="Q53" s="10" t="e">
        <f>#REF!+'March 2022'!P53</f>
        <v>#REF!</v>
      </c>
      <c r="R53" s="21"/>
      <c r="S53" s="10" t="e">
        <f>#REF!+'March 2022'!R53</f>
        <v>#REF!</v>
      </c>
      <c r="T53" s="25"/>
      <c r="U53" s="21"/>
      <c r="V53" s="21"/>
      <c r="W53" s="21"/>
    </row>
    <row r="54" spans="1:23" s="23" customFormat="1">
      <c r="A54" s="19"/>
      <c r="B54" s="20"/>
      <c r="C54" s="21"/>
      <c r="D54" s="21"/>
      <c r="E54" s="22"/>
      <c r="F54" s="21"/>
      <c r="G54" s="21"/>
      <c r="H54" s="21"/>
      <c r="I54" s="24"/>
      <c r="J54" s="21"/>
      <c r="K54" s="22"/>
      <c r="L54" s="21"/>
      <c r="M54" s="24"/>
      <c r="N54" s="21" t="s">
        <v>66</v>
      </c>
      <c r="O54" s="21"/>
      <c r="P54" s="24"/>
      <c r="Q54" s="22"/>
      <c r="R54" s="21"/>
      <c r="S54" s="24"/>
      <c r="T54" s="25"/>
      <c r="U54" s="21"/>
      <c r="V54" s="21"/>
      <c r="W54" s="21"/>
    </row>
    <row r="55" spans="1:23" s="23" customFormat="1">
      <c r="A55" s="19"/>
      <c r="B55" s="20"/>
      <c r="C55" s="21"/>
      <c r="D55" s="21"/>
      <c r="E55" s="22"/>
      <c r="F55" s="21"/>
      <c r="G55" s="21"/>
      <c r="H55" s="21"/>
      <c r="I55" s="24"/>
      <c r="J55" s="21"/>
      <c r="K55" s="22"/>
      <c r="L55" s="21"/>
      <c r="M55" s="24"/>
      <c r="N55" s="21"/>
      <c r="O55" s="21"/>
      <c r="P55" s="24"/>
      <c r="Q55" s="22"/>
      <c r="R55" s="21"/>
      <c r="S55" s="24"/>
      <c r="T55" s="25"/>
      <c r="U55" s="21"/>
      <c r="V55" s="21"/>
      <c r="W55" s="21"/>
    </row>
    <row r="56" spans="1:23" s="17" customFormat="1" ht="57" customHeight="1">
      <c r="A56" s="26"/>
      <c r="B56" s="27"/>
      <c r="C56" s="28">
        <f>C50+C39+C25</f>
        <v>172331.44999999995</v>
      </c>
      <c r="D56" s="112" t="s">
        <v>58</v>
      </c>
      <c r="E56" s="112"/>
      <c r="F56" s="112"/>
      <c r="G56" s="112"/>
      <c r="H56" s="43">
        <f>D51+J51+P51-F51-L51-R51</f>
        <v>277.78200000000004</v>
      </c>
      <c r="I56" s="43"/>
      <c r="J56" s="43"/>
      <c r="K56" s="43"/>
      <c r="L56" s="43"/>
      <c r="M56" s="43"/>
      <c r="N56" s="43"/>
      <c r="O56" s="29"/>
      <c r="P56" s="43"/>
      <c r="Q56" s="43"/>
      <c r="R56" s="43"/>
      <c r="S56" s="43"/>
      <c r="T56" s="43"/>
      <c r="U56" s="44"/>
      <c r="V56" s="44"/>
      <c r="W56" s="44"/>
    </row>
    <row r="57" spans="1:23" s="17" customFormat="1" ht="66" customHeight="1">
      <c r="A57" s="26"/>
      <c r="B57" s="27"/>
      <c r="C57" s="43"/>
      <c r="D57" s="112" t="s">
        <v>59</v>
      </c>
      <c r="E57" s="112"/>
      <c r="F57" s="112"/>
      <c r="G57" s="112"/>
      <c r="H57" s="43">
        <f>E51+K51+Q51-G51-M51-S51</f>
        <v>2390.29</v>
      </c>
      <c r="I57" s="43"/>
      <c r="J57" s="43"/>
      <c r="K57" s="43"/>
      <c r="L57" s="43"/>
      <c r="M57" s="43"/>
      <c r="N57" s="43"/>
      <c r="O57" s="29"/>
      <c r="P57" s="43"/>
      <c r="Q57" s="43"/>
      <c r="R57" s="43"/>
      <c r="S57" s="43"/>
      <c r="T57" s="43"/>
      <c r="U57" s="44"/>
      <c r="V57" s="44"/>
      <c r="W57" s="44"/>
    </row>
    <row r="58" spans="1:23" ht="54" customHeight="1">
      <c r="C58" s="28"/>
      <c r="D58" s="112" t="s">
        <v>60</v>
      </c>
      <c r="E58" s="112"/>
      <c r="F58" s="112"/>
      <c r="G58" s="112"/>
      <c r="H58" s="43">
        <f>H51+N51+T51</f>
        <v>179340.57699999996</v>
      </c>
      <c r="I58" s="31"/>
      <c r="J58" s="31"/>
      <c r="K58" s="31"/>
      <c r="L58" s="32"/>
      <c r="M58" s="32"/>
      <c r="N58" s="45" t="e">
        <f>#REF!+'March 2022'!H56</f>
        <v>#REF!</v>
      </c>
      <c r="O58" s="12"/>
      <c r="P58" s="31"/>
      <c r="Q58" s="31"/>
      <c r="T58" s="41"/>
      <c r="U58" s="12"/>
      <c r="V58" s="12"/>
      <c r="W58" s="12"/>
    </row>
    <row r="59" spans="1:23" ht="42.75" customHeight="1">
      <c r="C59" s="44"/>
      <c r="D59" s="44"/>
      <c r="E59" s="1"/>
      <c r="H59" s="31"/>
      <c r="J59" s="33" t="e">
        <f>#REF!+'March 2022'!H56</f>
        <v>#REF!</v>
      </c>
      <c r="K59" s="31"/>
      <c r="L59" s="33" t="e">
        <f>#REF!+'March 2022'!H56</f>
        <v>#REF!</v>
      </c>
      <c r="M59" s="31"/>
      <c r="O59" s="12"/>
    </row>
    <row r="60" spans="1:23" s="17" customFormat="1" ht="78.75" customHeight="1">
      <c r="B60" s="114" t="s">
        <v>61</v>
      </c>
      <c r="C60" s="114"/>
      <c r="D60" s="114"/>
      <c r="E60" s="114"/>
      <c r="F60" s="114"/>
      <c r="H60" s="1"/>
      <c r="I60" s="34" t="e">
        <f>#REF!+'March 2022'!H56</f>
        <v>#REF!</v>
      </c>
      <c r="J60" s="1"/>
      <c r="K60" s="31"/>
      <c r="L60" s="31"/>
      <c r="M60" s="31"/>
      <c r="Q60" s="114" t="s">
        <v>62</v>
      </c>
      <c r="R60" s="114"/>
      <c r="S60" s="114"/>
      <c r="T60" s="114"/>
      <c r="U60" s="114"/>
    </row>
    <row r="61" spans="1:23" s="17" customFormat="1" ht="45.75" customHeight="1">
      <c r="B61" s="114" t="s">
        <v>63</v>
      </c>
      <c r="C61" s="114"/>
      <c r="D61" s="114"/>
      <c r="E61" s="114"/>
      <c r="F61" s="114"/>
      <c r="G61" s="35"/>
      <c r="H61" s="36">
        <f>'[1]feb 2021'!H58+'March 2022'!H56</f>
        <v>177115.42500000002</v>
      </c>
      <c r="I61" s="35"/>
      <c r="J61" s="28"/>
      <c r="K61" s="31"/>
      <c r="L61" s="31"/>
      <c r="M61" s="31"/>
      <c r="Q61" s="114" t="s">
        <v>63</v>
      </c>
      <c r="R61" s="114"/>
      <c r="S61" s="114"/>
      <c r="T61" s="114"/>
      <c r="U61" s="114"/>
    </row>
    <row r="62" spans="1:23" s="17" customFormat="1">
      <c r="B62" s="27"/>
      <c r="F62" s="37"/>
      <c r="I62" s="35"/>
      <c r="J62" s="37"/>
      <c r="Q62" s="44"/>
      <c r="R62" s="44"/>
      <c r="S62" s="2"/>
      <c r="T62" s="44"/>
      <c r="U62" s="44"/>
      <c r="V62" s="44"/>
      <c r="W62" s="44"/>
    </row>
    <row r="63" spans="1:23" s="17" customFormat="1" ht="61.5" customHeight="1">
      <c r="B63" s="27"/>
      <c r="G63" s="36">
        <f>'[1]May 2020'!H56+'March 2022'!H56</f>
        <v>175008.74300000002</v>
      </c>
      <c r="J63" s="113" t="s">
        <v>64</v>
      </c>
      <c r="K63" s="113"/>
      <c r="L63" s="113"/>
      <c r="O63" s="44"/>
      <c r="S63" s="37"/>
      <c r="U63" s="44"/>
      <c r="V63" s="44"/>
      <c r="W63" s="44"/>
    </row>
    <row r="64" spans="1:23" s="17" customFormat="1" ht="58.5" customHeight="1">
      <c r="B64" s="27"/>
      <c r="H64" s="1"/>
      <c r="J64" s="113" t="s">
        <v>65</v>
      </c>
      <c r="K64" s="113"/>
      <c r="L64" s="113"/>
      <c r="O64" s="44"/>
      <c r="S64" s="37"/>
      <c r="U64" s="44"/>
      <c r="V64" s="44"/>
      <c r="W64" s="44"/>
    </row>
    <row r="66" spans="2:23">
      <c r="G66" s="31"/>
      <c r="H66" s="33" t="e">
        <f>#REF!+'March 2022'!H56</f>
        <v>#REF!</v>
      </c>
    </row>
    <row r="67" spans="2:23">
      <c r="H67" s="31"/>
      <c r="J67" s="31"/>
    </row>
    <row r="69" spans="2:23">
      <c r="B69" s="3"/>
      <c r="G69" s="38"/>
      <c r="O69" s="3"/>
      <c r="U69" s="3"/>
      <c r="V69" s="3"/>
      <c r="W69" s="3"/>
    </row>
  </sheetData>
  <mergeCells count="29">
    <mergeCell ref="J64:L64"/>
    <mergeCell ref="D58:G58"/>
    <mergeCell ref="B60:F60"/>
    <mergeCell ref="Q60:U60"/>
    <mergeCell ref="B61:F61"/>
    <mergeCell ref="Q61:U61"/>
    <mergeCell ref="J63:L63"/>
    <mergeCell ref="D57:G57"/>
    <mergeCell ref="H5:H6"/>
    <mergeCell ref="I5:I6"/>
    <mergeCell ref="J5:K5"/>
    <mergeCell ref="L5:M5"/>
    <mergeCell ref="D56:G5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9"/>
  <sheetViews>
    <sheetView zoomScale="38" zoomScaleNormal="38" zoomScaleSheetLayoutView="25" workbookViewId="0">
      <pane ySplit="6" topLeftCell="A43" activePane="bottomLeft" state="frozen"/>
      <selection pane="bottomLeft" activeCell="C42" sqref="C42:H43"/>
    </sheetView>
  </sheetViews>
  <sheetFormatPr defaultRowHeight="33"/>
  <cols>
    <col min="1" max="1" width="16.7109375" style="3" customWidth="1"/>
    <col min="2" max="2" width="45.5703125" style="30" customWidth="1"/>
    <col min="3" max="3" width="36.5703125" style="3" customWidth="1"/>
    <col min="4" max="4" width="28.140625" style="3" customWidth="1"/>
    <col min="5" max="5" width="40.28515625" style="3" customWidth="1"/>
    <col min="6" max="6" width="32.42578125" style="3" customWidth="1"/>
    <col min="7" max="7" width="28.140625" style="3" customWidth="1"/>
    <col min="8" max="8" width="41.85546875" style="3" customWidth="1"/>
    <col min="9" max="9" width="29.5703125" style="3" customWidth="1"/>
    <col min="10" max="10" width="39.42578125" style="3" customWidth="1"/>
    <col min="11" max="11" width="28.140625" style="3" customWidth="1"/>
    <col min="12" max="12" width="36.7109375" style="3" customWidth="1"/>
    <col min="13" max="13" width="30.140625" style="3" customWidth="1"/>
    <col min="14" max="14" width="28.140625" style="3" customWidth="1"/>
    <col min="15" max="15" width="47.28515625" style="5" customWidth="1"/>
    <col min="16" max="16" width="32.7109375" style="3" customWidth="1"/>
    <col min="17" max="17" width="34.5703125" style="3" customWidth="1"/>
    <col min="18" max="18" width="36" style="3" customWidth="1"/>
    <col min="19" max="19" width="28.140625" style="6" customWidth="1"/>
    <col min="20" max="20" width="28.140625" style="3" customWidth="1"/>
    <col min="21" max="21" width="36.7109375" style="5" customWidth="1"/>
    <col min="22" max="22" width="41.42578125" style="5" customWidth="1"/>
    <col min="23" max="23" width="26" style="5" customWidth="1"/>
    <col min="24" max="16384" width="9.140625" style="3"/>
  </cols>
  <sheetData>
    <row r="1" spans="1:183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2"/>
      <c r="W1" s="2"/>
    </row>
    <row r="2" spans="1:183" ht="7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2"/>
      <c r="W2" s="2"/>
    </row>
    <row r="3" spans="1:183" ht="35.25" customHeight="1">
      <c r="A3" s="110" t="s">
        <v>83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2"/>
      <c r="W3" s="2"/>
    </row>
    <row r="4" spans="1:183" s="6" customFormat="1" ht="32.25" customHeight="1">
      <c r="A4" s="110" t="s">
        <v>1</v>
      </c>
      <c r="B4" s="110" t="s">
        <v>2</v>
      </c>
      <c r="C4" s="110" t="s">
        <v>3</v>
      </c>
      <c r="D4" s="110"/>
      <c r="E4" s="110"/>
      <c r="F4" s="110"/>
      <c r="G4" s="110"/>
      <c r="H4" s="110"/>
      <c r="I4" s="110" t="s">
        <v>4</v>
      </c>
      <c r="J4" s="111"/>
      <c r="K4" s="111"/>
      <c r="L4" s="111"/>
      <c r="M4" s="111"/>
      <c r="N4" s="111"/>
      <c r="O4" s="110" t="s">
        <v>5</v>
      </c>
      <c r="P4" s="111"/>
      <c r="Q4" s="111"/>
      <c r="R4" s="111"/>
      <c r="S4" s="111"/>
      <c r="T4" s="111"/>
      <c r="U4" s="4"/>
      <c r="V4" s="5"/>
      <c r="W4" s="5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</row>
    <row r="5" spans="1:183" s="6" customFormat="1" ht="41.25" customHeight="1">
      <c r="A5" s="110"/>
      <c r="B5" s="110"/>
      <c r="C5" s="110" t="s">
        <v>6</v>
      </c>
      <c r="D5" s="110" t="s">
        <v>7</v>
      </c>
      <c r="E5" s="110"/>
      <c r="F5" s="110" t="s">
        <v>8</v>
      </c>
      <c r="G5" s="110"/>
      <c r="H5" s="110" t="s">
        <v>9</v>
      </c>
      <c r="I5" s="110" t="s">
        <v>6</v>
      </c>
      <c r="J5" s="110" t="s">
        <v>7</v>
      </c>
      <c r="K5" s="110"/>
      <c r="L5" s="110" t="s">
        <v>8</v>
      </c>
      <c r="M5" s="110"/>
      <c r="N5" s="110" t="s">
        <v>9</v>
      </c>
      <c r="O5" s="110" t="s">
        <v>10</v>
      </c>
      <c r="P5" s="110" t="s">
        <v>7</v>
      </c>
      <c r="Q5" s="110"/>
      <c r="R5" s="110" t="s">
        <v>8</v>
      </c>
      <c r="S5" s="110"/>
      <c r="T5" s="110" t="s">
        <v>9</v>
      </c>
      <c r="U5" s="110" t="s">
        <v>11</v>
      </c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s="6" customFormat="1" ht="60" customHeight="1">
      <c r="A6" s="110"/>
      <c r="B6" s="110"/>
      <c r="C6" s="110"/>
      <c r="D6" s="106" t="s">
        <v>12</v>
      </c>
      <c r="E6" s="106" t="s">
        <v>13</v>
      </c>
      <c r="F6" s="106" t="s">
        <v>12</v>
      </c>
      <c r="G6" s="106" t="s">
        <v>13</v>
      </c>
      <c r="H6" s="110"/>
      <c r="I6" s="110"/>
      <c r="J6" s="7" t="s">
        <v>12</v>
      </c>
      <c r="K6" s="106" t="s">
        <v>13</v>
      </c>
      <c r="L6" s="106" t="s">
        <v>12</v>
      </c>
      <c r="M6" s="106" t="s">
        <v>13</v>
      </c>
      <c r="N6" s="110"/>
      <c r="O6" s="110"/>
      <c r="P6" s="106" t="s">
        <v>12</v>
      </c>
      <c r="Q6" s="106" t="s">
        <v>13</v>
      </c>
      <c r="R6" s="106" t="s">
        <v>12</v>
      </c>
      <c r="S6" s="106" t="s">
        <v>13</v>
      </c>
      <c r="T6" s="110"/>
      <c r="U6" s="110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</row>
    <row r="7" spans="1:183" ht="42.75" customHeight="1">
      <c r="A7" s="8">
        <v>1</v>
      </c>
      <c r="B7" s="9" t="s">
        <v>14</v>
      </c>
      <c r="C7" s="10">
        <f>'Nov 2022'!H7</f>
        <v>96.970000000000653</v>
      </c>
      <c r="D7" s="10">
        <v>0</v>
      </c>
      <c r="E7" s="10">
        <f>'Nov 2022'!E7+'Dec 2022'!D7</f>
        <v>47.73</v>
      </c>
      <c r="F7" s="10">
        <v>0</v>
      </c>
      <c r="G7" s="10">
        <f>'Nov 2022'!G7+F7</f>
        <v>72.3</v>
      </c>
      <c r="H7" s="72">
        <f>C7+D7-F7</f>
        <v>96.970000000000653</v>
      </c>
      <c r="I7" s="10">
        <f>'Nov 2022'!N7</f>
        <v>173.44599999999994</v>
      </c>
      <c r="J7" s="10">
        <v>0</v>
      </c>
      <c r="K7" s="10">
        <f>'Nov 2022'!K7+'Dec 2022'!J7</f>
        <v>42.681000000000004</v>
      </c>
      <c r="L7" s="10">
        <v>0</v>
      </c>
      <c r="M7" s="10">
        <f>'Nov 2022'!M7+'Dec 2022'!L7</f>
        <v>0.04</v>
      </c>
      <c r="N7" s="72">
        <f>I7+J7-L7</f>
        <v>173.44599999999994</v>
      </c>
      <c r="O7" s="11">
        <f>'Nov 2022'!T7</f>
        <v>284.1400000000001</v>
      </c>
      <c r="P7" s="10">
        <v>0</v>
      </c>
      <c r="Q7" s="10">
        <f>'Nov 2022'!Q7+'Dec 2022'!P7</f>
        <v>0.46</v>
      </c>
      <c r="R7" s="10">
        <v>0</v>
      </c>
      <c r="S7" s="10">
        <f>'Nov 2022'!S7+'Dec 2022'!R7</f>
        <v>0</v>
      </c>
      <c r="T7" s="82">
        <f>O7+P7-R7</f>
        <v>284.1400000000001</v>
      </c>
      <c r="U7" s="11">
        <f>H7+N7+T7</f>
        <v>554.55600000000072</v>
      </c>
      <c r="V7" s="12"/>
      <c r="W7" s="12"/>
    </row>
    <row r="8" spans="1:183" ht="42.75" customHeight="1">
      <c r="A8" s="8">
        <v>2</v>
      </c>
      <c r="B8" s="9" t="s">
        <v>15</v>
      </c>
      <c r="C8" s="10">
        <f>'Nov 2022'!H8</f>
        <v>497.58499999999987</v>
      </c>
      <c r="D8" s="10">
        <v>0</v>
      </c>
      <c r="E8" s="10">
        <f>'Nov 2022'!E8+'Dec 2022'!D8</f>
        <v>0.45000000000000007</v>
      </c>
      <c r="F8" s="10">
        <v>0</v>
      </c>
      <c r="G8" s="10">
        <f>'Nov 2022'!G8+F8</f>
        <v>0.33999999999999997</v>
      </c>
      <c r="H8" s="72">
        <f t="shared" ref="H8:H53" si="0">C8+D8-F8</f>
        <v>497.58499999999987</v>
      </c>
      <c r="I8" s="10">
        <f>'Nov 2022'!N8</f>
        <v>130.839</v>
      </c>
      <c r="J8" s="10">
        <v>7.7130000000000001</v>
      </c>
      <c r="K8" s="10">
        <f>'Nov 2022'!K8+'Dec 2022'!J8</f>
        <v>18.522000000000002</v>
      </c>
      <c r="L8" s="10">
        <v>0</v>
      </c>
      <c r="M8" s="10">
        <f>'Nov 2022'!M8+'Dec 2022'!L8</f>
        <v>0</v>
      </c>
      <c r="N8" s="72">
        <f t="shared" ref="N8:N48" si="1">I8+J8-L8</f>
        <v>138.55199999999999</v>
      </c>
      <c r="O8" s="11">
        <f>'Nov 2022'!T8</f>
        <v>222.27000000000004</v>
      </c>
      <c r="P8" s="10">
        <v>0</v>
      </c>
      <c r="Q8" s="10">
        <f>'Nov 2022'!Q8+'Dec 2022'!P8</f>
        <v>34.629999999999995</v>
      </c>
      <c r="R8" s="10">
        <v>0</v>
      </c>
      <c r="S8" s="10">
        <f>'Nov 2022'!S8+'Dec 2022'!R8</f>
        <v>0</v>
      </c>
      <c r="T8" s="82">
        <f t="shared" ref="T8:T48" si="2">O8+P8-R8</f>
        <v>222.27000000000004</v>
      </c>
      <c r="U8" s="11">
        <f t="shared" ref="U8:U48" si="3">H8+N8+T8</f>
        <v>858.40699999999993</v>
      </c>
      <c r="V8" s="12"/>
      <c r="W8" s="12"/>
    </row>
    <row r="9" spans="1:183" ht="42.75" customHeight="1">
      <c r="A9" s="8">
        <v>3</v>
      </c>
      <c r="B9" s="9" t="s">
        <v>16</v>
      </c>
      <c r="C9" s="10">
        <f>'Nov 2022'!H9</f>
        <v>653.9599999999997</v>
      </c>
      <c r="D9" s="10">
        <v>0</v>
      </c>
      <c r="E9" s="10">
        <f>'Nov 2022'!E9+'Dec 2022'!D9</f>
        <v>0</v>
      </c>
      <c r="F9" s="10">
        <v>0</v>
      </c>
      <c r="G9" s="10">
        <f>'Nov 2022'!G9+F9</f>
        <v>90</v>
      </c>
      <c r="H9" s="72">
        <f t="shared" si="0"/>
        <v>653.9599999999997</v>
      </c>
      <c r="I9" s="10">
        <f>'Nov 2022'!N9</f>
        <v>207.25600000000003</v>
      </c>
      <c r="J9" s="10">
        <v>1.899</v>
      </c>
      <c r="K9" s="10">
        <f>'Nov 2022'!K9+'Dec 2022'!J9</f>
        <v>11.821999999999999</v>
      </c>
      <c r="L9" s="10">
        <v>0</v>
      </c>
      <c r="M9" s="10">
        <f>'Nov 2022'!M9+'Dec 2022'!L9</f>
        <v>0</v>
      </c>
      <c r="N9" s="72">
        <f t="shared" si="1"/>
        <v>209.15500000000003</v>
      </c>
      <c r="O9" s="11">
        <f>'Nov 2022'!T9</f>
        <v>811.34</v>
      </c>
      <c r="P9" s="10">
        <v>0</v>
      </c>
      <c r="Q9" s="10">
        <f>'Nov 2022'!Q9+'Dec 2022'!P9</f>
        <v>125.15</v>
      </c>
      <c r="R9" s="10">
        <v>0</v>
      </c>
      <c r="S9" s="10">
        <f>'Nov 2022'!S9+'Dec 2022'!R9</f>
        <v>0</v>
      </c>
      <c r="T9" s="82">
        <f t="shared" si="2"/>
        <v>811.34</v>
      </c>
      <c r="U9" s="11">
        <f t="shared" si="3"/>
        <v>1674.4549999999999</v>
      </c>
      <c r="V9" s="12"/>
      <c r="W9" s="12"/>
    </row>
    <row r="10" spans="1:183" ht="42.75" customHeight="1">
      <c r="A10" s="8">
        <v>4</v>
      </c>
      <c r="B10" s="13" t="s">
        <v>17</v>
      </c>
      <c r="C10" s="10">
        <f>'Nov 2022'!H10</f>
        <v>0</v>
      </c>
      <c r="D10" s="10">
        <v>0</v>
      </c>
      <c r="E10" s="10">
        <f>'Nov 2022'!E10+'Dec 2022'!D10</f>
        <v>0</v>
      </c>
      <c r="F10" s="10">
        <v>0</v>
      </c>
      <c r="G10" s="10">
        <f>'Nov 2022'!G10+F10</f>
        <v>0</v>
      </c>
      <c r="H10" s="72">
        <f t="shared" si="0"/>
        <v>0</v>
      </c>
      <c r="I10" s="10">
        <f>'Nov 2022'!N10</f>
        <v>143.86000000000007</v>
      </c>
      <c r="J10" s="10">
        <v>0.25</v>
      </c>
      <c r="K10" s="10">
        <f>'Nov 2022'!K10+'Dec 2022'!J10</f>
        <v>2.0760000000000001</v>
      </c>
      <c r="L10" s="10">
        <v>0</v>
      </c>
      <c r="M10" s="10">
        <f>'Nov 2022'!M10+'Dec 2022'!L10</f>
        <v>0</v>
      </c>
      <c r="N10" s="72">
        <f t="shared" si="1"/>
        <v>144.11000000000007</v>
      </c>
      <c r="O10" s="11">
        <f>'Nov 2022'!T10</f>
        <v>234.27999999999997</v>
      </c>
      <c r="P10" s="10">
        <v>0</v>
      </c>
      <c r="Q10" s="10">
        <f>'Nov 2022'!Q10+'Dec 2022'!P10</f>
        <v>1.1100000000000001</v>
      </c>
      <c r="R10" s="10">
        <v>0</v>
      </c>
      <c r="S10" s="10">
        <f>'Nov 2022'!S10+'Dec 2022'!R10</f>
        <v>0</v>
      </c>
      <c r="T10" s="82">
        <f t="shared" si="2"/>
        <v>234.27999999999997</v>
      </c>
      <c r="U10" s="11">
        <f t="shared" si="3"/>
        <v>378.39000000000004</v>
      </c>
      <c r="V10" s="12"/>
      <c r="W10" s="12"/>
    </row>
    <row r="11" spans="1:183" s="17" customFormat="1" ht="42.75" customHeight="1">
      <c r="A11" s="14"/>
      <c r="B11" s="97" t="s">
        <v>18</v>
      </c>
      <c r="C11" s="16">
        <f>SUM(C7:C10)</f>
        <v>1248.5150000000003</v>
      </c>
      <c r="D11" s="16">
        <f t="shared" ref="D11:U11" si="4">SUM(D7:D10)</f>
        <v>0</v>
      </c>
      <c r="E11" s="16">
        <f t="shared" si="4"/>
        <v>48.18</v>
      </c>
      <c r="F11" s="16">
        <f t="shared" si="4"/>
        <v>0</v>
      </c>
      <c r="G11" s="16">
        <f t="shared" si="4"/>
        <v>162.63999999999999</v>
      </c>
      <c r="H11" s="58">
        <f t="shared" si="4"/>
        <v>1248.5150000000003</v>
      </c>
      <c r="I11" s="16">
        <f t="shared" si="4"/>
        <v>655.40100000000007</v>
      </c>
      <c r="J11" s="16">
        <f t="shared" si="4"/>
        <v>9.8620000000000001</v>
      </c>
      <c r="K11" s="16">
        <f t="shared" si="4"/>
        <v>75.100999999999999</v>
      </c>
      <c r="L11" s="16">
        <f t="shared" si="4"/>
        <v>0</v>
      </c>
      <c r="M11" s="16">
        <f t="shared" si="4"/>
        <v>0.04</v>
      </c>
      <c r="N11" s="16">
        <f t="shared" si="4"/>
        <v>665.26300000000015</v>
      </c>
      <c r="O11" s="16">
        <f t="shared" si="4"/>
        <v>1552.0300000000002</v>
      </c>
      <c r="P11" s="16">
        <f t="shared" si="4"/>
        <v>0</v>
      </c>
      <c r="Q11" s="16">
        <f t="shared" si="4"/>
        <v>161.35000000000002</v>
      </c>
      <c r="R11" s="16">
        <f t="shared" si="4"/>
        <v>0</v>
      </c>
      <c r="S11" s="16">
        <f t="shared" si="4"/>
        <v>0</v>
      </c>
      <c r="T11" s="16">
        <f t="shared" si="4"/>
        <v>1552.0300000000002</v>
      </c>
      <c r="U11" s="16">
        <f t="shared" si="4"/>
        <v>3465.8080000000004</v>
      </c>
      <c r="V11" s="104"/>
      <c r="W11" s="104"/>
    </row>
    <row r="12" spans="1:183" ht="42.75" customHeight="1">
      <c r="A12" s="8">
        <v>5</v>
      </c>
      <c r="B12" s="9" t="s">
        <v>19</v>
      </c>
      <c r="C12" s="10">
        <f>'Nov 2022'!H12</f>
        <v>1042.9599999999989</v>
      </c>
      <c r="D12" s="10">
        <v>0</v>
      </c>
      <c r="E12" s="10">
        <f>'Nov 2022'!E12+'Dec 2022'!D12</f>
        <v>0</v>
      </c>
      <c r="F12" s="10">
        <v>0</v>
      </c>
      <c r="G12" s="10">
        <f>'Nov 2022'!G12+F12</f>
        <v>610.53</v>
      </c>
      <c r="H12" s="72">
        <f t="shared" si="0"/>
        <v>1042.9599999999989</v>
      </c>
      <c r="I12" s="10">
        <f>'Nov 2022'!N12</f>
        <v>125.46300000000001</v>
      </c>
      <c r="J12" s="10">
        <v>0.86</v>
      </c>
      <c r="K12" s="10">
        <f>'Nov 2022'!K12+'Dec 2022'!J12</f>
        <v>5.09</v>
      </c>
      <c r="L12" s="10">
        <v>0</v>
      </c>
      <c r="M12" s="10">
        <f>'Nov 2022'!M12+'Dec 2022'!L12</f>
        <v>0.4</v>
      </c>
      <c r="N12" s="72">
        <f t="shared" si="1"/>
        <v>126.32300000000001</v>
      </c>
      <c r="O12" s="11">
        <f>'Nov 2022'!T12</f>
        <v>787.78</v>
      </c>
      <c r="P12" s="10">
        <v>0</v>
      </c>
      <c r="Q12" s="10">
        <f>'Nov 2022'!Q12+'Dec 2022'!P12</f>
        <v>208.87</v>
      </c>
      <c r="R12" s="10">
        <v>0</v>
      </c>
      <c r="S12" s="10">
        <f>'Nov 2022'!S12+'Dec 2022'!R12</f>
        <v>0</v>
      </c>
      <c r="T12" s="82">
        <f t="shared" si="2"/>
        <v>787.78</v>
      </c>
      <c r="U12" s="11">
        <f t="shared" si="3"/>
        <v>1957.062999999999</v>
      </c>
      <c r="V12" s="12"/>
      <c r="W12" s="12"/>
    </row>
    <row r="13" spans="1:183" ht="42.75" customHeight="1">
      <c r="A13" s="8">
        <v>6</v>
      </c>
      <c r="B13" s="9" t="s">
        <v>20</v>
      </c>
      <c r="C13" s="10">
        <f>'Nov 2022'!H13</f>
        <v>1023.7699999999998</v>
      </c>
      <c r="D13" s="10">
        <v>0</v>
      </c>
      <c r="E13" s="10">
        <f>'Nov 2022'!E13+'Dec 2022'!D13</f>
        <v>0</v>
      </c>
      <c r="F13" s="10">
        <v>0</v>
      </c>
      <c r="G13" s="10">
        <f>'Nov 2022'!G13+F13</f>
        <v>0</v>
      </c>
      <c r="H13" s="72">
        <f t="shared" si="0"/>
        <v>1023.7699999999998</v>
      </c>
      <c r="I13" s="10">
        <f>'Nov 2022'!N13</f>
        <v>153.6640000000001</v>
      </c>
      <c r="J13" s="10">
        <v>1.17</v>
      </c>
      <c r="K13" s="10">
        <f>'Nov 2022'!K13+'Dec 2022'!J13</f>
        <v>7.24</v>
      </c>
      <c r="L13" s="10">
        <v>0</v>
      </c>
      <c r="M13" s="10">
        <f>'Nov 2022'!M13+'Dec 2022'!L13</f>
        <v>0.72</v>
      </c>
      <c r="N13" s="72">
        <f t="shared" si="1"/>
        <v>154.83400000000009</v>
      </c>
      <c r="O13" s="11">
        <f>'Nov 2022'!T13</f>
        <v>87.2</v>
      </c>
      <c r="P13" s="10">
        <v>0</v>
      </c>
      <c r="Q13" s="10">
        <f>'Nov 2022'!Q13+'Dec 2022'!P13</f>
        <v>0.67</v>
      </c>
      <c r="R13" s="10">
        <v>0</v>
      </c>
      <c r="S13" s="10">
        <f>'Nov 2022'!S13+'Dec 2022'!R13</f>
        <v>0</v>
      </c>
      <c r="T13" s="82">
        <f t="shared" si="2"/>
        <v>87.2</v>
      </c>
      <c r="U13" s="11">
        <f t="shared" si="3"/>
        <v>1265.8039999999999</v>
      </c>
      <c r="V13" s="12"/>
      <c r="W13" s="12"/>
    </row>
    <row r="14" spans="1:183" ht="42.75" customHeight="1">
      <c r="A14" s="8">
        <v>7</v>
      </c>
      <c r="B14" s="9" t="s">
        <v>21</v>
      </c>
      <c r="C14" s="10">
        <f>'Nov 2022'!H14</f>
        <v>2084.5799999999995</v>
      </c>
      <c r="D14" s="10">
        <v>0</v>
      </c>
      <c r="E14" s="10">
        <f>'Nov 2022'!E14+'Dec 2022'!D14</f>
        <v>0.08</v>
      </c>
      <c r="F14" s="10">
        <v>0</v>
      </c>
      <c r="G14" s="10">
        <f>'Nov 2022'!G14+F14</f>
        <v>0</v>
      </c>
      <c r="H14" s="72">
        <f t="shared" si="0"/>
        <v>2084.5799999999995</v>
      </c>
      <c r="I14" s="10">
        <f>'Nov 2022'!N14</f>
        <v>203.90399999999997</v>
      </c>
      <c r="J14" s="10">
        <v>1.96</v>
      </c>
      <c r="K14" s="10">
        <f>'Nov 2022'!K14+'Dec 2022'!J14</f>
        <v>12.010000000000002</v>
      </c>
      <c r="L14" s="10">
        <v>0</v>
      </c>
      <c r="M14" s="10">
        <f>'Nov 2022'!M14+'Dec 2022'!L14</f>
        <v>0</v>
      </c>
      <c r="N14" s="72">
        <f t="shared" si="1"/>
        <v>205.86399999999998</v>
      </c>
      <c r="O14" s="11">
        <f>'Nov 2022'!T14</f>
        <v>403.31999999999994</v>
      </c>
      <c r="P14" s="10">
        <v>0.06</v>
      </c>
      <c r="Q14" s="10">
        <f>'Nov 2022'!Q14+'Dec 2022'!P14</f>
        <v>51.22</v>
      </c>
      <c r="R14" s="10">
        <v>0</v>
      </c>
      <c r="S14" s="10">
        <f>'Nov 2022'!S14+'Dec 2022'!R14</f>
        <v>0</v>
      </c>
      <c r="T14" s="82">
        <f t="shared" si="2"/>
        <v>403.37999999999994</v>
      </c>
      <c r="U14" s="11">
        <f t="shared" si="3"/>
        <v>2693.8239999999996</v>
      </c>
      <c r="V14" s="12"/>
      <c r="W14" s="12"/>
    </row>
    <row r="15" spans="1:183" s="17" customFormat="1" ht="42.75" customHeight="1">
      <c r="A15" s="14" t="s">
        <v>22</v>
      </c>
      <c r="B15" s="97" t="s">
        <v>23</v>
      </c>
      <c r="C15" s="16">
        <f>SUM(C12:C14)</f>
        <v>4151.3099999999977</v>
      </c>
      <c r="D15" s="16">
        <f t="shared" ref="D15:U15" si="5">SUM(D12:D14)</f>
        <v>0</v>
      </c>
      <c r="E15" s="16">
        <f t="shared" si="5"/>
        <v>0.08</v>
      </c>
      <c r="F15" s="16">
        <f t="shared" si="5"/>
        <v>0</v>
      </c>
      <c r="G15" s="16">
        <f t="shared" si="5"/>
        <v>610.53</v>
      </c>
      <c r="H15" s="16">
        <f t="shared" si="5"/>
        <v>4151.3099999999977</v>
      </c>
      <c r="I15" s="16">
        <f t="shared" si="5"/>
        <v>483.03100000000006</v>
      </c>
      <c r="J15" s="16">
        <f t="shared" si="5"/>
        <v>3.9899999999999998</v>
      </c>
      <c r="K15" s="16">
        <f t="shared" si="5"/>
        <v>24.340000000000003</v>
      </c>
      <c r="L15" s="16">
        <f t="shared" si="5"/>
        <v>0</v>
      </c>
      <c r="M15" s="16">
        <f t="shared" si="5"/>
        <v>1.1200000000000001</v>
      </c>
      <c r="N15" s="16">
        <f t="shared" si="5"/>
        <v>487.02100000000007</v>
      </c>
      <c r="O15" s="16">
        <f t="shared" si="5"/>
        <v>1278.3</v>
      </c>
      <c r="P15" s="16">
        <f t="shared" si="5"/>
        <v>0.06</v>
      </c>
      <c r="Q15" s="16">
        <f t="shared" si="5"/>
        <v>260.76</v>
      </c>
      <c r="R15" s="16">
        <f t="shared" si="5"/>
        <v>0</v>
      </c>
      <c r="S15" s="16">
        <f t="shared" si="5"/>
        <v>0</v>
      </c>
      <c r="T15" s="16">
        <f t="shared" si="5"/>
        <v>1278.3599999999999</v>
      </c>
      <c r="U15" s="16">
        <f t="shared" si="5"/>
        <v>5916.6909999999989</v>
      </c>
      <c r="V15" s="104"/>
      <c r="W15" s="104"/>
    </row>
    <row r="16" spans="1:183" ht="42.75" customHeight="1">
      <c r="A16" s="8">
        <v>8</v>
      </c>
      <c r="B16" s="9" t="s">
        <v>24</v>
      </c>
      <c r="C16" s="10">
        <f>'Nov 2022'!H16</f>
        <v>1303.4219999999991</v>
      </c>
      <c r="D16" s="10">
        <v>1.66</v>
      </c>
      <c r="E16" s="10">
        <f>'Nov 2022'!E16+'Dec 2022'!D16</f>
        <v>19.639999999999997</v>
      </c>
      <c r="F16" s="10">
        <v>0</v>
      </c>
      <c r="G16" s="10">
        <f>'Nov 2022'!G16+F16</f>
        <v>19.73</v>
      </c>
      <c r="H16" s="72">
        <f t="shared" si="0"/>
        <v>1305.0819999999992</v>
      </c>
      <c r="I16" s="10">
        <f>'Nov 2022'!N16</f>
        <v>113.01000000000003</v>
      </c>
      <c r="J16" s="10">
        <v>0.68</v>
      </c>
      <c r="K16" s="10">
        <f>'Nov 2022'!K16+'Dec 2022'!J16</f>
        <v>2.6700000000000004</v>
      </c>
      <c r="L16" s="10">
        <v>0</v>
      </c>
      <c r="M16" s="10">
        <f>'Nov 2022'!M16+'Dec 2022'!L16</f>
        <v>0</v>
      </c>
      <c r="N16" s="72">
        <f t="shared" si="1"/>
        <v>113.69000000000004</v>
      </c>
      <c r="O16" s="11">
        <f>'Nov 2022'!T16</f>
        <v>686.67899999999997</v>
      </c>
      <c r="P16" s="67">
        <f>1.4+66.92</f>
        <v>68.320000000000007</v>
      </c>
      <c r="Q16" s="10">
        <f>'Nov 2022'!Q16+'Dec 2022'!P16</f>
        <v>559.59</v>
      </c>
      <c r="R16" s="10">
        <v>0</v>
      </c>
      <c r="S16" s="10">
        <f>'Nov 2022'!S16+'Dec 2022'!R16</f>
        <v>0</v>
      </c>
      <c r="T16" s="11">
        <f t="shared" si="2"/>
        <v>754.99900000000002</v>
      </c>
      <c r="U16" s="11">
        <f t="shared" si="3"/>
        <v>2173.7709999999993</v>
      </c>
      <c r="V16" s="12"/>
      <c r="W16" s="12"/>
    </row>
    <row r="17" spans="1:23" ht="57.75" customHeight="1">
      <c r="A17" s="8">
        <v>9</v>
      </c>
      <c r="B17" s="9" t="s">
        <v>25</v>
      </c>
      <c r="C17" s="10">
        <f>'Nov 2022'!H17</f>
        <v>239.35399999999987</v>
      </c>
      <c r="D17" s="10">
        <v>0</v>
      </c>
      <c r="E17" s="10">
        <f>'Nov 2022'!E17+'Dec 2022'!D17</f>
        <v>39.92</v>
      </c>
      <c r="F17" s="10">
        <v>0</v>
      </c>
      <c r="G17" s="10">
        <f>'Nov 2022'!G17+F17</f>
        <v>0</v>
      </c>
      <c r="H17" s="72">
        <f t="shared" si="0"/>
        <v>239.35399999999987</v>
      </c>
      <c r="I17" s="10">
        <f>'Nov 2022'!N17</f>
        <v>28.466999999999992</v>
      </c>
      <c r="J17" s="10">
        <v>0.19</v>
      </c>
      <c r="K17" s="10">
        <f>'Nov 2022'!K17+'Dec 2022'!J17</f>
        <v>7.5699999999999994</v>
      </c>
      <c r="L17" s="10">
        <v>0</v>
      </c>
      <c r="M17" s="10">
        <f>'Nov 2022'!M17+'Dec 2022'!L17</f>
        <v>0.99</v>
      </c>
      <c r="N17" s="72">
        <f t="shared" si="1"/>
        <v>28.656999999999993</v>
      </c>
      <c r="O17" s="11">
        <f>'Nov 2022'!T17</f>
        <v>491.52100000000007</v>
      </c>
      <c r="P17" s="10">
        <v>0</v>
      </c>
      <c r="Q17" s="10">
        <f>'Nov 2022'!Q17+'Dec 2022'!P17</f>
        <v>70.81</v>
      </c>
      <c r="R17" s="10">
        <v>0</v>
      </c>
      <c r="S17" s="10">
        <f>'Nov 2022'!S17+'Dec 2022'!R17</f>
        <v>70.959999999999994</v>
      </c>
      <c r="T17" s="82">
        <f t="shared" si="2"/>
        <v>491.52100000000007</v>
      </c>
      <c r="U17" s="11">
        <f t="shared" si="3"/>
        <v>759.53199999999993</v>
      </c>
      <c r="V17" s="12"/>
      <c r="W17" s="12"/>
    </row>
    <row r="18" spans="1:23" ht="42.75" customHeight="1">
      <c r="A18" s="8">
        <v>10</v>
      </c>
      <c r="B18" s="9" t="s">
        <v>26</v>
      </c>
      <c r="C18" s="10">
        <f>'Nov 2022'!H18</f>
        <v>669.86499999999933</v>
      </c>
      <c r="D18" s="10">
        <v>0</v>
      </c>
      <c r="E18" s="10">
        <f>'Nov 2022'!E18+'Dec 2022'!D18</f>
        <v>0</v>
      </c>
      <c r="F18" s="10">
        <v>0</v>
      </c>
      <c r="G18" s="10">
        <f>'Nov 2022'!G18+F18</f>
        <v>0</v>
      </c>
      <c r="H18" s="72">
        <f t="shared" si="0"/>
        <v>669.86499999999933</v>
      </c>
      <c r="I18" s="10">
        <f>'Nov 2022'!N18</f>
        <v>17.849999999999987</v>
      </c>
      <c r="J18" s="10">
        <v>0.03</v>
      </c>
      <c r="K18" s="10">
        <f>'Nov 2022'!K18+'Dec 2022'!J18</f>
        <v>1.8099999999999998</v>
      </c>
      <c r="L18" s="10">
        <v>0</v>
      </c>
      <c r="M18" s="10">
        <f>'Nov 2022'!M18+'Dec 2022'!L18</f>
        <v>0.3</v>
      </c>
      <c r="N18" s="72">
        <f>I18+J18-L18</f>
        <v>17.879999999999988</v>
      </c>
      <c r="O18" s="11">
        <f>'Nov 2022'!T18</f>
        <v>239.88799999999998</v>
      </c>
      <c r="P18" s="10">
        <v>7.0000000000000007E-2</v>
      </c>
      <c r="Q18" s="10">
        <f>'Nov 2022'!Q18+'Dec 2022'!P18</f>
        <v>45.11</v>
      </c>
      <c r="R18" s="10">
        <v>0</v>
      </c>
      <c r="S18" s="10">
        <f>'Nov 2022'!S18+'Dec 2022'!R18</f>
        <v>0.05</v>
      </c>
      <c r="T18" s="82">
        <f t="shared" si="2"/>
        <v>239.95799999999997</v>
      </c>
      <c r="U18" s="11">
        <f t="shared" si="3"/>
        <v>927.70299999999929</v>
      </c>
      <c r="V18" s="12"/>
      <c r="W18" s="12"/>
    </row>
    <row r="19" spans="1:23" s="17" customFormat="1" ht="42.75" customHeight="1">
      <c r="A19" s="14"/>
      <c r="B19" s="97" t="s">
        <v>27</v>
      </c>
      <c r="C19" s="16">
        <f>SUM(C16:C18)</f>
        <v>2212.6409999999983</v>
      </c>
      <c r="D19" s="16">
        <f t="shared" ref="D19:U19" si="6">SUM(D16:D18)</f>
        <v>1.66</v>
      </c>
      <c r="E19" s="16">
        <f t="shared" si="6"/>
        <v>59.56</v>
      </c>
      <c r="F19" s="16">
        <f t="shared" si="6"/>
        <v>0</v>
      </c>
      <c r="G19" s="16">
        <f t="shared" si="6"/>
        <v>19.73</v>
      </c>
      <c r="H19" s="16">
        <f t="shared" si="6"/>
        <v>2214.3009999999986</v>
      </c>
      <c r="I19" s="16">
        <f t="shared" si="6"/>
        <v>159.32700000000003</v>
      </c>
      <c r="J19" s="16">
        <f t="shared" si="6"/>
        <v>0.90000000000000013</v>
      </c>
      <c r="K19" s="16">
        <f t="shared" si="6"/>
        <v>12.05</v>
      </c>
      <c r="L19" s="16">
        <f t="shared" si="6"/>
        <v>0</v>
      </c>
      <c r="M19" s="16">
        <f t="shared" si="6"/>
        <v>1.29</v>
      </c>
      <c r="N19" s="16">
        <f t="shared" si="6"/>
        <v>160.22700000000003</v>
      </c>
      <c r="O19" s="16">
        <f t="shared" si="6"/>
        <v>1418.088</v>
      </c>
      <c r="P19" s="16">
        <f t="shared" si="6"/>
        <v>68.39</v>
      </c>
      <c r="Q19" s="16">
        <f t="shared" si="6"/>
        <v>675.5100000000001</v>
      </c>
      <c r="R19" s="16">
        <f t="shared" si="6"/>
        <v>0</v>
      </c>
      <c r="S19" s="16">
        <f t="shared" si="6"/>
        <v>71.009999999999991</v>
      </c>
      <c r="T19" s="16">
        <f t="shared" si="6"/>
        <v>1486.4780000000001</v>
      </c>
      <c r="U19" s="16">
        <f t="shared" si="6"/>
        <v>3861.0059999999985</v>
      </c>
      <c r="V19" s="104"/>
      <c r="W19" s="104"/>
    </row>
    <row r="20" spans="1:23" ht="42.75" customHeight="1">
      <c r="A20" s="8">
        <v>11</v>
      </c>
      <c r="B20" s="9" t="s">
        <v>28</v>
      </c>
      <c r="C20" s="10">
        <f>'Nov 2022'!H20</f>
        <v>1024.4249999999993</v>
      </c>
      <c r="D20" s="10">
        <v>0</v>
      </c>
      <c r="E20" s="10">
        <f>'Nov 2022'!E20+'Dec 2022'!D20</f>
        <v>0.88</v>
      </c>
      <c r="F20" s="10">
        <v>0</v>
      </c>
      <c r="G20" s="10">
        <f>'Nov 2022'!G20+F20</f>
        <v>180</v>
      </c>
      <c r="H20" s="72">
        <f t="shared" si="0"/>
        <v>1024.4249999999993</v>
      </c>
      <c r="I20" s="10">
        <f>'Nov 2022'!N20</f>
        <v>154.88100000000009</v>
      </c>
      <c r="J20" s="10">
        <v>0.08</v>
      </c>
      <c r="K20" s="10">
        <f>'Nov 2022'!K20+'Dec 2022'!J20</f>
        <v>2.66</v>
      </c>
      <c r="L20" s="10">
        <v>0</v>
      </c>
      <c r="M20" s="10">
        <f>'Nov 2022'!M20+'Dec 2022'!L20</f>
        <v>0</v>
      </c>
      <c r="N20" s="72">
        <f t="shared" si="1"/>
        <v>154.9610000000001</v>
      </c>
      <c r="O20" s="11">
        <f>'Nov 2022'!T20</f>
        <v>741.01099999999985</v>
      </c>
      <c r="P20" s="10">
        <v>0.65</v>
      </c>
      <c r="Q20" s="10">
        <f>'Nov 2022'!Q20+'Dec 2022'!P20</f>
        <v>399.73</v>
      </c>
      <c r="R20" s="10">
        <v>0</v>
      </c>
      <c r="S20" s="10">
        <f>'Nov 2022'!S20+'Dec 2022'!R20</f>
        <v>0</v>
      </c>
      <c r="T20" s="82">
        <f t="shared" si="2"/>
        <v>741.66099999999983</v>
      </c>
      <c r="U20" s="11">
        <f t="shared" si="3"/>
        <v>1921.0469999999991</v>
      </c>
      <c r="V20" s="12"/>
      <c r="W20" s="12"/>
    </row>
    <row r="21" spans="1:23" ht="42.75" customHeight="1">
      <c r="A21" s="8">
        <v>12</v>
      </c>
      <c r="B21" s="9" t="s">
        <v>29</v>
      </c>
      <c r="C21" s="10">
        <f>'Nov 2022'!H21</f>
        <v>142.68999999999988</v>
      </c>
      <c r="D21" s="10">
        <v>0</v>
      </c>
      <c r="E21" s="10">
        <f>'Nov 2022'!E21+'Dec 2022'!D21</f>
        <v>0</v>
      </c>
      <c r="F21" s="10">
        <v>0</v>
      </c>
      <c r="G21" s="10">
        <f>'Nov 2022'!G21+F21</f>
        <v>0</v>
      </c>
      <c r="H21" s="72">
        <f t="shared" si="0"/>
        <v>142.68999999999988</v>
      </c>
      <c r="I21" s="10">
        <f>'Nov 2022'!N21</f>
        <v>51.883000000000017</v>
      </c>
      <c r="J21" s="10">
        <v>0.15</v>
      </c>
      <c r="K21" s="10">
        <f>'Nov 2022'!K21+'Dec 2022'!J21</f>
        <v>1.8699999999999999</v>
      </c>
      <c r="L21" s="10">
        <v>0</v>
      </c>
      <c r="M21" s="10">
        <f>'Nov 2022'!M21+'Dec 2022'!L21</f>
        <v>0</v>
      </c>
      <c r="N21" s="72">
        <f t="shared" si="1"/>
        <v>52.033000000000015</v>
      </c>
      <c r="O21" s="11">
        <f>'Nov 2022'!T21</f>
        <v>310.79999999999995</v>
      </c>
      <c r="P21" s="10">
        <v>0</v>
      </c>
      <c r="Q21" s="10">
        <f>'Nov 2022'!Q21+'Dec 2022'!P21</f>
        <v>44.3</v>
      </c>
      <c r="R21" s="10">
        <v>0</v>
      </c>
      <c r="S21" s="10">
        <f>'Nov 2022'!S21+'Dec 2022'!R21</f>
        <v>0</v>
      </c>
      <c r="T21" s="82">
        <f t="shared" si="2"/>
        <v>310.79999999999995</v>
      </c>
      <c r="U21" s="11">
        <f t="shared" si="3"/>
        <v>505.52299999999985</v>
      </c>
      <c r="V21" s="12"/>
      <c r="W21" s="12"/>
    </row>
    <row r="22" spans="1:23" ht="42.75" customHeight="1">
      <c r="A22" s="8">
        <v>13</v>
      </c>
      <c r="B22" s="9" t="s">
        <v>30</v>
      </c>
      <c r="C22" s="10">
        <f>'Nov 2022'!H22</f>
        <v>27.069999999999879</v>
      </c>
      <c r="D22" s="10">
        <v>0</v>
      </c>
      <c r="E22" s="10">
        <f>'Nov 2022'!E22+'Dec 2022'!D22</f>
        <v>0</v>
      </c>
      <c r="F22" s="10">
        <v>0</v>
      </c>
      <c r="G22" s="10">
        <f>'Nov 2022'!G22+F22</f>
        <v>0</v>
      </c>
      <c r="H22" s="72">
        <f t="shared" si="0"/>
        <v>27.069999999999879</v>
      </c>
      <c r="I22" s="10">
        <f>'Nov 2022'!N22</f>
        <v>15.760000000000005</v>
      </c>
      <c r="J22" s="10">
        <v>0.09</v>
      </c>
      <c r="K22" s="10">
        <f>'Nov 2022'!K22+'Dec 2022'!J22</f>
        <v>0.25</v>
      </c>
      <c r="L22" s="10">
        <v>0</v>
      </c>
      <c r="M22" s="10">
        <f>'Nov 2022'!M22+'Dec 2022'!L22</f>
        <v>0</v>
      </c>
      <c r="N22" s="72">
        <f t="shared" si="1"/>
        <v>15.850000000000005</v>
      </c>
      <c r="O22" s="11">
        <f>'Nov 2022'!T22</f>
        <v>775.63999999999987</v>
      </c>
      <c r="P22" s="10">
        <v>0.2</v>
      </c>
      <c r="Q22" s="10">
        <f>'Nov 2022'!Q22+'Dec 2022'!P22</f>
        <v>104.33000000000001</v>
      </c>
      <c r="R22" s="10">
        <v>0</v>
      </c>
      <c r="S22" s="10">
        <f>'Nov 2022'!S22+'Dec 2022'!R22</f>
        <v>0</v>
      </c>
      <c r="T22" s="82">
        <f t="shared" si="2"/>
        <v>775.83999999999992</v>
      </c>
      <c r="U22" s="11">
        <f t="shared" si="3"/>
        <v>818.75999999999976</v>
      </c>
      <c r="V22" s="12"/>
      <c r="W22" s="12"/>
    </row>
    <row r="23" spans="1:23" ht="42.75" customHeight="1">
      <c r="A23" s="8">
        <v>14</v>
      </c>
      <c r="B23" s="9" t="s">
        <v>31</v>
      </c>
      <c r="C23" s="10">
        <f>'Nov 2022'!H23</f>
        <v>1120.9019999999998</v>
      </c>
      <c r="D23" s="10">
        <v>3.6</v>
      </c>
      <c r="E23" s="10">
        <f>'Nov 2022'!E23+'Dec 2022'!D23</f>
        <v>26.54</v>
      </c>
      <c r="F23" s="10">
        <v>0</v>
      </c>
      <c r="G23" s="10">
        <f>'Nov 2022'!G23+F23</f>
        <v>75</v>
      </c>
      <c r="H23" s="72">
        <f t="shared" si="0"/>
        <v>1124.5019999999997</v>
      </c>
      <c r="I23" s="10">
        <f>'Nov 2022'!N23</f>
        <v>39.343999999999994</v>
      </c>
      <c r="J23" s="10">
        <v>2.4500000000000002</v>
      </c>
      <c r="K23" s="10">
        <f>'Nov 2022'!K23+'Dec 2022'!J23</f>
        <v>26.5</v>
      </c>
      <c r="L23" s="10">
        <v>0</v>
      </c>
      <c r="M23" s="10">
        <f>'Nov 2022'!M23+'Dec 2022'!L23</f>
        <v>0</v>
      </c>
      <c r="N23" s="72">
        <f t="shared" si="1"/>
        <v>41.793999999999997</v>
      </c>
      <c r="O23" s="11">
        <f>'Nov 2022'!T23</f>
        <v>403.42500000000001</v>
      </c>
      <c r="P23" s="10">
        <v>0</v>
      </c>
      <c r="Q23" s="10">
        <f>'Nov 2022'!Q23+'Dec 2022'!P23</f>
        <v>236.14000000000004</v>
      </c>
      <c r="R23" s="10">
        <v>0</v>
      </c>
      <c r="S23" s="10">
        <f>'Nov 2022'!S23+'Dec 2022'!R23</f>
        <v>0</v>
      </c>
      <c r="T23" s="82">
        <f t="shared" si="2"/>
        <v>403.42500000000001</v>
      </c>
      <c r="U23" s="11">
        <f t="shared" si="3"/>
        <v>1569.7209999999998</v>
      </c>
      <c r="V23" s="12"/>
      <c r="W23" s="12"/>
    </row>
    <row r="24" spans="1:23" s="17" customFormat="1" ht="42.75" customHeight="1">
      <c r="A24" s="14"/>
      <c r="B24" s="97" t="s">
        <v>32</v>
      </c>
      <c r="C24" s="16">
        <f>SUM(C20:C23)</f>
        <v>2315.0869999999986</v>
      </c>
      <c r="D24" s="16">
        <f t="shared" ref="D24:U24" si="7">SUM(D20:D23)</f>
        <v>3.6</v>
      </c>
      <c r="E24" s="16">
        <f t="shared" si="7"/>
        <v>27.419999999999998</v>
      </c>
      <c r="F24" s="16">
        <f t="shared" si="7"/>
        <v>0</v>
      </c>
      <c r="G24" s="16">
        <f t="shared" si="7"/>
        <v>255</v>
      </c>
      <c r="H24" s="16">
        <f t="shared" si="7"/>
        <v>2318.686999999999</v>
      </c>
      <c r="I24" s="16">
        <f t="shared" si="7"/>
        <v>261.86800000000011</v>
      </c>
      <c r="J24" s="16">
        <f t="shared" si="7"/>
        <v>2.77</v>
      </c>
      <c r="K24" s="16">
        <f t="shared" si="7"/>
        <v>31.28</v>
      </c>
      <c r="L24" s="16">
        <f t="shared" si="7"/>
        <v>0</v>
      </c>
      <c r="M24" s="16">
        <f t="shared" si="7"/>
        <v>0</v>
      </c>
      <c r="N24" s="16">
        <f t="shared" si="7"/>
        <v>264.63800000000009</v>
      </c>
      <c r="O24" s="16">
        <f t="shared" si="7"/>
        <v>2230.8759999999997</v>
      </c>
      <c r="P24" s="16">
        <f t="shared" si="7"/>
        <v>0.85000000000000009</v>
      </c>
      <c r="Q24" s="16">
        <f t="shared" si="7"/>
        <v>784.5</v>
      </c>
      <c r="R24" s="16">
        <f t="shared" si="7"/>
        <v>0</v>
      </c>
      <c r="S24" s="16">
        <f t="shared" si="7"/>
        <v>0</v>
      </c>
      <c r="T24" s="16">
        <f t="shared" si="7"/>
        <v>2231.7259999999997</v>
      </c>
      <c r="U24" s="16">
        <f t="shared" si="7"/>
        <v>4815.0509999999986</v>
      </c>
      <c r="V24" s="104"/>
      <c r="W24" s="104"/>
    </row>
    <row r="25" spans="1:23" s="17" customFormat="1" ht="42.75" customHeight="1">
      <c r="A25" s="14"/>
      <c r="B25" s="15" t="s">
        <v>33</v>
      </c>
      <c r="C25" s="16">
        <f>C24+C19+C15+C11</f>
        <v>9927.5529999999962</v>
      </c>
      <c r="D25" s="16">
        <f t="shared" ref="D25:U25" si="8">D24+D19+D15+D11</f>
        <v>5.26</v>
      </c>
      <c r="E25" s="16">
        <f t="shared" si="8"/>
        <v>135.24</v>
      </c>
      <c r="F25" s="16">
        <f t="shared" si="8"/>
        <v>0</v>
      </c>
      <c r="G25" s="16">
        <f t="shared" si="8"/>
        <v>1047.9000000000001</v>
      </c>
      <c r="H25" s="16">
        <f t="shared" si="8"/>
        <v>9932.8129999999946</v>
      </c>
      <c r="I25" s="16">
        <f t="shared" si="8"/>
        <v>1559.6270000000004</v>
      </c>
      <c r="J25" s="16">
        <f t="shared" si="8"/>
        <v>17.521999999999998</v>
      </c>
      <c r="K25" s="16">
        <f t="shared" si="8"/>
        <v>142.77100000000002</v>
      </c>
      <c r="L25" s="16">
        <f t="shared" si="8"/>
        <v>0</v>
      </c>
      <c r="M25" s="16">
        <f t="shared" si="8"/>
        <v>2.4500000000000002</v>
      </c>
      <c r="N25" s="16">
        <f t="shared" si="8"/>
        <v>1577.1490000000003</v>
      </c>
      <c r="O25" s="16">
        <f t="shared" si="8"/>
        <v>6479.2939999999999</v>
      </c>
      <c r="P25" s="16">
        <f t="shared" si="8"/>
        <v>69.3</v>
      </c>
      <c r="Q25" s="16">
        <f t="shared" si="8"/>
        <v>1882.1200000000003</v>
      </c>
      <c r="R25" s="16">
        <f t="shared" si="8"/>
        <v>0</v>
      </c>
      <c r="S25" s="16">
        <f t="shared" si="8"/>
        <v>71.009999999999991</v>
      </c>
      <c r="T25" s="16">
        <f t="shared" si="8"/>
        <v>6548.5939999999991</v>
      </c>
      <c r="U25" s="16">
        <f t="shared" si="8"/>
        <v>18058.555999999997</v>
      </c>
      <c r="V25" s="104"/>
      <c r="W25" s="104"/>
    </row>
    <row r="26" spans="1:23" ht="42.75" customHeight="1">
      <c r="A26" s="8">
        <v>15</v>
      </c>
      <c r="B26" s="9" t="s">
        <v>34</v>
      </c>
      <c r="C26" s="10">
        <f>'Nov 2022'!H26</f>
        <v>1205.3319999999994</v>
      </c>
      <c r="D26" s="10">
        <v>2.7</v>
      </c>
      <c r="E26" s="10">
        <f>'Nov 2022'!E26+'Dec 2022'!D26</f>
        <v>24.389999999999997</v>
      </c>
      <c r="F26" s="10">
        <v>0</v>
      </c>
      <c r="G26" s="10">
        <f>'Nov 2022'!G26+F26</f>
        <v>0</v>
      </c>
      <c r="H26" s="72">
        <f t="shared" si="0"/>
        <v>1208.0319999999995</v>
      </c>
      <c r="I26" s="10">
        <f>'Nov 2022'!N26</f>
        <v>0.04</v>
      </c>
      <c r="J26" s="10">
        <v>0.04</v>
      </c>
      <c r="K26" s="10">
        <f>'Nov 2022'!K26+'Dec 2022'!J26</f>
        <v>0.12</v>
      </c>
      <c r="L26" s="10">
        <v>0</v>
      </c>
      <c r="M26" s="10">
        <f>'Nov 2022'!M26+'Dec 2022'!L26</f>
        <v>0.04</v>
      </c>
      <c r="N26" s="72">
        <f t="shared" si="1"/>
        <v>0.08</v>
      </c>
      <c r="O26" s="11">
        <f>'Nov 2022'!T26</f>
        <v>172.74</v>
      </c>
      <c r="P26" s="10">
        <v>13.65</v>
      </c>
      <c r="Q26" s="10">
        <f>'Nov 2022'!Q26+'Dec 2022'!P26</f>
        <v>57.25</v>
      </c>
      <c r="R26" s="10">
        <v>0</v>
      </c>
      <c r="S26" s="10">
        <f>'Nov 2022'!S26+'Dec 2022'!R26</f>
        <v>0.42</v>
      </c>
      <c r="T26" s="82">
        <f t="shared" si="2"/>
        <v>186.39000000000001</v>
      </c>
      <c r="U26" s="11">
        <f t="shared" si="3"/>
        <v>1394.5019999999995</v>
      </c>
      <c r="V26" s="115"/>
      <c r="W26" s="12"/>
    </row>
    <row r="27" spans="1:23" ht="42.75" customHeight="1">
      <c r="A27" s="8">
        <v>16</v>
      </c>
      <c r="B27" s="9" t="s">
        <v>67</v>
      </c>
      <c r="C27" s="10">
        <f>'Nov 2022'!H27</f>
        <v>10390.576999999992</v>
      </c>
      <c r="D27" s="10">
        <v>6.45</v>
      </c>
      <c r="E27" s="10">
        <f>'Nov 2022'!E27+'Dec 2022'!D27</f>
        <v>98.84</v>
      </c>
      <c r="F27" s="10">
        <v>0</v>
      </c>
      <c r="G27" s="10">
        <f>'Nov 2022'!G27+F27</f>
        <v>0</v>
      </c>
      <c r="H27" s="72">
        <f t="shared" si="0"/>
        <v>10397.026999999993</v>
      </c>
      <c r="I27" s="10">
        <f>'Nov 2022'!N27</f>
        <v>397.315</v>
      </c>
      <c r="J27" s="10">
        <v>6.85</v>
      </c>
      <c r="K27" s="10">
        <f>'Nov 2022'!K27+'Dec 2022'!J27</f>
        <v>19.13</v>
      </c>
      <c r="L27" s="10">
        <v>0</v>
      </c>
      <c r="M27" s="10">
        <f>'Nov 2022'!M27+'Dec 2022'!L27</f>
        <v>0</v>
      </c>
      <c r="N27" s="72">
        <f t="shared" si="1"/>
        <v>404.16500000000002</v>
      </c>
      <c r="O27" s="11">
        <f>'Nov 2022'!T27</f>
        <v>36.890000000000015</v>
      </c>
      <c r="P27" s="10">
        <v>0.49</v>
      </c>
      <c r="Q27" s="10">
        <f>'Nov 2022'!Q27+'Dec 2022'!P27</f>
        <v>7.25</v>
      </c>
      <c r="R27" s="10">
        <v>0</v>
      </c>
      <c r="S27" s="10">
        <f>'Nov 2022'!S27+'Dec 2022'!R27</f>
        <v>45.22</v>
      </c>
      <c r="T27" s="82">
        <f t="shared" si="2"/>
        <v>37.380000000000017</v>
      </c>
      <c r="U27" s="11">
        <f t="shared" si="3"/>
        <v>10838.571999999993</v>
      </c>
      <c r="V27" s="115"/>
      <c r="W27" s="12"/>
    </row>
    <row r="28" spans="1:23" s="17" customFormat="1" ht="42.75" customHeight="1">
      <c r="A28" s="14"/>
      <c r="B28" s="97" t="s">
        <v>35</v>
      </c>
      <c r="C28" s="16">
        <f>SUM(C26:C27)</f>
        <v>11595.908999999992</v>
      </c>
      <c r="D28" s="16">
        <f t="shared" ref="D28:U28" si="9">SUM(D26:D27)</f>
        <v>9.15</v>
      </c>
      <c r="E28" s="16">
        <f t="shared" si="9"/>
        <v>123.23</v>
      </c>
      <c r="F28" s="16">
        <f t="shared" si="9"/>
        <v>0</v>
      </c>
      <c r="G28" s="16">
        <f t="shared" si="9"/>
        <v>0</v>
      </c>
      <c r="H28" s="16">
        <f t="shared" si="9"/>
        <v>11605.058999999992</v>
      </c>
      <c r="I28" s="16">
        <f t="shared" si="9"/>
        <v>397.35500000000002</v>
      </c>
      <c r="J28" s="16">
        <f t="shared" si="9"/>
        <v>6.89</v>
      </c>
      <c r="K28" s="16">
        <f t="shared" si="9"/>
        <v>19.25</v>
      </c>
      <c r="L28" s="16">
        <f t="shared" si="9"/>
        <v>0</v>
      </c>
      <c r="M28" s="16">
        <f t="shared" si="9"/>
        <v>0.04</v>
      </c>
      <c r="N28" s="16">
        <f t="shared" si="9"/>
        <v>404.245</v>
      </c>
      <c r="O28" s="16">
        <f t="shared" si="9"/>
        <v>209.63000000000002</v>
      </c>
      <c r="P28" s="16">
        <f t="shared" si="9"/>
        <v>14.14</v>
      </c>
      <c r="Q28" s="16">
        <f t="shared" si="9"/>
        <v>64.5</v>
      </c>
      <c r="R28" s="16">
        <f t="shared" si="9"/>
        <v>0</v>
      </c>
      <c r="S28" s="16">
        <f t="shared" si="9"/>
        <v>45.64</v>
      </c>
      <c r="T28" s="16">
        <f t="shared" si="9"/>
        <v>223.77000000000004</v>
      </c>
      <c r="U28" s="16">
        <f t="shared" si="9"/>
        <v>12233.073999999993</v>
      </c>
      <c r="V28" s="104"/>
      <c r="W28" s="104"/>
    </row>
    <row r="29" spans="1:23" ht="42.75" customHeight="1">
      <c r="A29" s="8">
        <v>17</v>
      </c>
      <c r="B29" s="9" t="s">
        <v>36</v>
      </c>
      <c r="C29" s="10">
        <f>'Nov 2022'!H29</f>
        <v>4476.8270000000011</v>
      </c>
      <c r="D29" s="10">
        <v>11.989000000000001</v>
      </c>
      <c r="E29" s="10">
        <f>'Nov 2022'!E29+'Dec 2022'!D29</f>
        <v>87.203000000000003</v>
      </c>
      <c r="F29" s="10">
        <v>0</v>
      </c>
      <c r="G29" s="10">
        <f>'Nov 2022'!G29+F29</f>
        <v>0</v>
      </c>
      <c r="H29" s="72">
        <f t="shared" si="0"/>
        <v>4488.8160000000007</v>
      </c>
      <c r="I29" s="10">
        <f>'Nov 2022'!N29</f>
        <v>184.70000000000002</v>
      </c>
      <c r="J29" s="10">
        <v>0</v>
      </c>
      <c r="K29" s="10">
        <f>'Nov 2022'!K29+'Dec 2022'!J29</f>
        <v>113.00999999999999</v>
      </c>
      <c r="L29" s="10">
        <v>0</v>
      </c>
      <c r="M29" s="10">
        <f>'Nov 2022'!M29+'Dec 2022'!L29</f>
        <v>0</v>
      </c>
      <c r="N29" s="72">
        <f t="shared" si="1"/>
        <v>184.70000000000002</v>
      </c>
      <c r="O29" s="11">
        <f>'Nov 2022'!T29</f>
        <v>354.68</v>
      </c>
      <c r="P29" s="67">
        <f>0.03+107.94</f>
        <v>107.97</v>
      </c>
      <c r="Q29" s="10">
        <f>'Nov 2022'!Q29+'Dec 2022'!P29</f>
        <v>324.57</v>
      </c>
      <c r="R29" s="10">
        <v>0</v>
      </c>
      <c r="S29" s="10">
        <f>'Nov 2022'!S29+'Dec 2022'!R29</f>
        <v>0</v>
      </c>
      <c r="T29" s="11">
        <f t="shared" si="2"/>
        <v>462.65</v>
      </c>
      <c r="U29" s="11">
        <f t="shared" si="3"/>
        <v>5136.1660000000002</v>
      </c>
      <c r="V29" s="12"/>
      <c r="W29" s="12"/>
    </row>
    <row r="30" spans="1:23" ht="42.75" customHeight="1">
      <c r="A30" s="8">
        <v>18</v>
      </c>
      <c r="B30" s="9" t="s">
        <v>37</v>
      </c>
      <c r="C30" s="10">
        <f>'Nov 2022'!H30</f>
        <v>6413.8990000000022</v>
      </c>
      <c r="D30" s="10">
        <v>10.359</v>
      </c>
      <c r="E30" s="10">
        <f>'Nov 2022'!E30+'Dec 2022'!D30</f>
        <v>248.91400000000004</v>
      </c>
      <c r="F30" s="10">
        <v>0</v>
      </c>
      <c r="G30" s="10">
        <f>'Nov 2022'!G30+F30</f>
        <v>0</v>
      </c>
      <c r="H30" s="72">
        <f t="shared" si="0"/>
        <v>6424.2580000000025</v>
      </c>
      <c r="I30" s="10">
        <f>'Nov 2022'!N30</f>
        <v>130.80000000000001</v>
      </c>
      <c r="J30" s="10">
        <v>0</v>
      </c>
      <c r="K30" s="10">
        <f>'Nov 2022'!K30+'Dec 2022'!J30</f>
        <v>130.80000000000001</v>
      </c>
      <c r="L30" s="10">
        <v>0</v>
      </c>
      <c r="M30" s="10">
        <f>'Nov 2022'!M30+'Dec 2022'!L30</f>
        <v>0</v>
      </c>
      <c r="N30" s="72">
        <f t="shared" si="1"/>
        <v>130.80000000000001</v>
      </c>
      <c r="O30" s="11">
        <f>'Nov 2022'!T30</f>
        <v>104.96</v>
      </c>
      <c r="P30" s="67">
        <v>44.91</v>
      </c>
      <c r="Q30" s="10">
        <f>'Nov 2022'!Q30+'Dec 2022'!P30</f>
        <v>149.64999999999998</v>
      </c>
      <c r="R30" s="10">
        <v>0</v>
      </c>
      <c r="S30" s="10">
        <f>'Nov 2022'!S30+'Dec 2022'!R30</f>
        <v>0</v>
      </c>
      <c r="T30" s="11">
        <f t="shared" si="2"/>
        <v>149.87</v>
      </c>
      <c r="U30" s="11">
        <f t="shared" si="3"/>
        <v>6704.9280000000026</v>
      </c>
      <c r="V30" s="12"/>
      <c r="W30" s="12"/>
    </row>
    <row r="31" spans="1:23" ht="42.75" customHeight="1">
      <c r="A31" s="8">
        <v>19</v>
      </c>
      <c r="B31" s="9" t="s">
        <v>38</v>
      </c>
      <c r="C31" s="10">
        <f>'Nov 2022'!H31</f>
        <v>3109.7509999999993</v>
      </c>
      <c r="D31" s="10">
        <v>4.4779999999999998</v>
      </c>
      <c r="E31" s="10">
        <f>'Nov 2022'!E31+'Dec 2022'!D31</f>
        <v>43.546000000000006</v>
      </c>
      <c r="F31" s="10">
        <v>0</v>
      </c>
      <c r="G31" s="10">
        <f>'Nov 2022'!G31+F31</f>
        <v>3.38</v>
      </c>
      <c r="H31" s="72">
        <f t="shared" si="0"/>
        <v>3114.2289999999994</v>
      </c>
      <c r="I31" s="10">
        <f>'Nov 2022'!N31</f>
        <v>50.180000000000007</v>
      </c>
      <c r="J31" s="10">
        <v>0</v>
      </c>
      <c r="K31" s="10">
        <f>'Nov 2022'!K31+'Dec 2022'!J31</f>
        <v>47.02</v>
      </c>
      <c r="L31" s="10">
        <v>0</v>
      </c>
      <c r="M31" s="10">
        <f>'Nov 2022'!M31+'Dec 2022'!L31</f>
        <v>0</v>
      </c>
      <c r="N31" s="72">
        <f t="shared" si="1"/>
        <v>50.180000000000007</v>
      </c>
      <c r="O31" s="11">
        <f>'Nov 2022'!T31</f>
        <v>244.44</v>
      </c>
      <c r="P31" s="10">
        <v>0</v>
      </c>
      <c r="Q31" s="10">
        <f>'Nov 2022'!Q31+'Dec 2022'!P31</f>
        <v>115.96000000000001</v>
      </c>
      <c r="R31" s="10">
        <v>0</v>
      </c>
      <c r="S31" s="10">
        <f>'Nov 2022'!S31+'Dec 2022'!R31</f>
        <v>0</v>
      </c>
      <c r="T31" s="82">
        <f t="shared" si="2"/>
        <v>244.44</v>
      </c>
      <c r="U31" s="11">
        <f t="shared" si="3"/>
        <v>3408.8489999999993</v>
      </c>
      <c r="V31" s="12"/>
      <c r="W31" s="12"/>
    </row>
    <row r="32" spans="1:23" ht="42.75" customHeight="1">
      <c r="A32" s="8">
        <v>20</v>
      </c>
      <c r="B32" s="9" t="s">
        <v>39</v>
      </c>
      <c r="C32" s="10">
        <f>'Nov 2022'!H32</f>
        <v>4380.54</v>
      </c>
      <c r="D32" s="10">
        <v>2.27</v>
      </c>
      <c r="E32" s="10">
        <f>'Nov 2022'!E32+'Dec 2022'!D32</f>
        <v>26.939999999999994</v>
      </c>
      <c r="F32" s="10">
        <v>0</v>
      </c>
      <c r="G32" s="10">
        <f>'Nov 2022'!G32+F32</f>
        <v>0</v>
      </c>
      <c r="H32" s="72">
        <f t="shared" si="0"/>
        <v>4382.8100000000004</v>
      </c>
      <c r="I32" s="10">
        <f>'Nov 2022'!N32</f>
        <v>223.1</v>
      </c>
      <c r="J32" s="10">
        <v>1.1000000000000001</v>
      </c>
      <c r="K32" s="10">
        <f>'Nov 2022'!K32+'Dec 2022'!J32</f>
        <v>90.359999999999985</v>
      </c>
      <c r="L32" s="10">
        <v>0</v>
      </c>
      <c r="M32" s="10">
        <f>'Nov 2022'!M32+'Dec 2022'!L32</f>
        <v>0</v>
      </c>
      <c r="N32" s="72">
        <f t="shared" si="1"/>
        <v>224.2</v>
      </c>
      <c r="O32" s="11">
        <f>'Nov 2022'!T32</f>
        <v>243.64999999999995</v>
      </c>
      <c r="P32" s="10">
        <v>0</v>
      </c>
      <c r="Q32" s="10">
        <f>'Nov 2022'!Q32+'Dec 2022'!P32</f>
        <v>0.01</v>
      </c>
      <c r="R32" s="10">
        <v>0</v>
      </c>
      <c r="S32" s="10">
        <f>'Nov 2022'!S32+'Dec 2022'!R32</f>
        <v>27.41</v>
      </c>
      <c r="T32" s="82">
        <f t="shared" si="2"/>
        <v>243.64999999999995</v>
      </c>
      <c r="U32" s="11">
        <f t="shared" si="3"/>
        <v>4850.66</v>
      </c>
      <c r="V32" s="12"/>
      <c r="W32" s="12"/>
    </row>
    <row r="33" spans="1:23" s="17" customFormat="1" ht="42.75" customHeight="1">
      <c r="A33" s="14"/>
      <c r="B33" s="97" t="s">
        <v>68</v>
      </c>
      <c r="C33" s="16">
        <f>SUM(C29:C32)</f>
        <v>18381.017000000003</v>
      </c>
      <c r="D33" s="16">
        <f t="shared" ref="D33:U33" si="10">SUM(D29:D32)</f>
        <v>29.096</v>
      </c>
      <c r="E33" s="16">
        <f t="shared" si="10"/>
        <v>406.60300000000007</v>
      </c>
      <c r="F33" s="16">
        <f t="shared" si="10"/>
        <v>0</v>
      </c>
      <c r="G33" s="16">
        <f t="shared" si="10"/>
        <v>3.38</v>
      </c>
      <c r="H33" s="16">
        <f t="shared" si="10"/>
        <v>18410.113000000005</v>
      </c>
      <c r="I33" s="16">
        <f t="shared" si="10"/>
        <v>588.78</v>
      </c>
      <c r="J33" s="16">
        <f t="shared" si="10"/>
        <v>1.1000000000000001</v>
      </c>
      <c r="K33" s="16">
        <f t="shared" si="10"/>
        <v>381.18999999999994</v>
      </c>
      <c r="L33" s="16">
        <f t="shared" si="10"/>
        <v>0</v>
      </c>
      <c r="M33" s="16">
        <f t="shared" si="10"/>
        <v>0</v>
      </c>
      <c r="N33" s="16">
        <f t="shared" si="10"/>
        <v>589.88</v>
      </c>
      <c r="O33" s="16">
        <f t="shared" si="10"/>
        <v>947.7299999999999</v>
      </c>
      <c r="P33" s="16">
        <f t="shared" si="10"/>
        <v>152.88</v>
      </c>
      <c r="Q33" s="16">
        <f t="shared" si="10"/>
        <v>590.18999999999994</v>
      </c>
      <c r="R33" s="16">
        <f t="shared" si="10"/>
        <v>0</v>
      </c>
      <c r="S33" s="16">
        <f t="shared" si="10"/>
        <v>27.41</v>
      </c>
      <c r="T33" s="16">
        <f t="shared" si="10"/>
        <v>1100.6099999999999</v>
      </c>
      <c r="U33" s="16">
        <f t="shared" si="10"/>
        <v>20100.603000000003</v>
      </c>
      <c r="V33" s="104"/>
      <c r="W33" s="104"/>
    </row>
    <row r="34" spans="1:23" ht="42.75" customHeight="1">
      <c r="A34" s="8">
        <v>21</v>
      </c>
      <c r="B34" s="9" t="s">
        <v>40</v>
      </c>
      <c r="C34" s="10">
        <f>'Nov 2022'!H34</f>
        <v>5942.0300000000016</v>
      </c>
      <c r="D34" s="67">
        <f>4.84+67.11</f>
        <v>71.95</v>
      </c>
      <c r="E34" s="10">
        <f>'Nov 2022'!E34+'Dec 2022'!D34</f>
        <v>147.87</v>
      </c>
      <c r="F34" s="10">
        <v>0</v>
      </c>
      <c r="G34" s="10">
        <f>'Nov 2022'!G34+F34</f>
        <v>0</v>
      </c>
      <c r="H34" s="10">
        <f t="shared" si="0"/>
        <v>6013.9800000000014</v>
      </c>
      <c r="I34" s="10">
        <f>'Nov 2022'!N34</f>
        <v>2</v>
      </c>
      <c r="J34" s="10">
        <v>0</v>
      </c>
      <c r="K34" s="10">
        <f>'Nov 2022'!K34+'Dec 2022'!J34</f>
        <v>2</v>
      </c>
      <c r="L34" s="10">
        <v>0</v>
      </c>
      <c r="M34" s="10">
        <f>'Nov 2022'!M34+'Dec 2022'!L34</f>
        <v>0</v>
      </c>
      <c r="N34" s="72">
        <f t="shared" si="1"/>
        <v>2</v>
      </c>
      <c r="O34" s="11">
        <f>'Nov 2022'!T34</f>
        <v>38.700000000000003</v>
      </c>
      <c r="P34" s="10">
        <v>0</v>
      </c>
      <c r="Q34" s="10">
        <f>'Nov 2022'!Q34+'Dec 2022'!P34</f>
        <v>38.700000000000003</v>
      </c>
      <c r="R34" s="10">
        <v>0</v>
      </c>
      <c r="S34" s="10">
        <f>'Nov 2022'!S34+'Dec 2022'!R34</f>
        <v>0</v>
      </c>
      <c r="T34" s="82">
        <f t="shared" si="2"/>
        <v>38.700000000000003</v>
      </c>
      <c r="U34" s="11">
        <f t="shared" si="3"/>
        <v>6054.6800000000012</v>
      </c>
      <c r="V34" s="18"/>
      <c r="W34" s="18"/>
    </row>
    <row r="35" spans="1:23" ht="42.75" customHeight="1">
      <c r="A35" s="8">
        <v>22</v>
      </c>
      <c r="B35" s="9" t="s">
        <v>41</v>
      </c>
      <c r="C35" s="10">
        <f>'Nov 2022'!H35</f>
        <v>4732.5550000000012</v>
      </c>
      <c r="D35" s="10">
        <v>30.08</v>
      </c>
      <c r="E35" s="10">
        <f>'Nov 2022'!E35+'Dec 2022'!D35</f>
        <v>151.37</v>
      </c>
      <c r="F35" s="10">
        <v>0</v>
      </c>
      <c r="G35" s="10">
        <f>'Nov 2022'!G35+F35</f>
        <v>13.64</v>
      </c>
      <c r="H35" s="10">
        <f t="shared" si="0"/>
        <v>4762.6350000000011</v>
      </c>
      <c r="I35" s="10">
        <f>'Nov 2022'!N35</f>
        <v>0.1</v>
      </c>
      <c r="J35" s="10">
        <v>0</v>
      </c>
      <c r="K35" s="10">
        <f>'Nov 2022'!K35+'Dec 2022'!J35</f>
        <v>0</v>
      </c>
      <c r="L35" s="10">
        <v>0</v>
      </c>
      <c r="M35" s="10">
        <f>'Nov 2022'!M35+'Dec 2022'!L35</f>
        <v>0</v>
      </c>
      <c r="N35" s="72">
        <f t="shared" si="1"/>
        <v>0.1</v>
      </c>
      <c r="O35" s="11">
        <f>'Nov 2022'!T35</f>
        <v>125.47000000000001</v>
      </c>
      <c r="P35" s="10">
        <v>0</v>
      </c>
      <c r="Q35" s="10">
        <f>'Nov 2022'!Q35+'Dec 2022'!P35</f>
        <v>109.04</v>
      </c>
      <c r="R35" s="10">
        <v>0</v>
      </c>
      <c r="S35" s="10">
        <f>'Nov 2022'!S35+'Dec 2022'!R35</f>
        <v>0</v>
      </c>
      <c r="T35" s="82">
        <f t="shared" si="2"/>
        <v>125.47000000000001</v>
      </c>
      <c r="U35" s="11">
        <f t="shared" si="3"/>
        <v>4888.2050000000017</v>
      </c>
      <c r="V35" s="18"/>
      <c r="W35" s="18"/>
    </row>
    <row r="36" spans="1:23" ht="42.75" customHeight="1">
      <c r="A36" s="8">
        <v>23</v>
      </c>
      <c r="B36" s="9" t="s">
        <v>42</v>
      </c>
      <c r="C36" s="10">
        <f>'Nov 2022'!H36</f>
        <v>19368.120000000003</v>
      </c>
      <c r="D36" s="10">
        <v>0</v>
      </c>
      <c r="E36" s="10">
        <f>'Nov 2022'!E36+'Dec 2022'!D36</f>
        <v>1.25</v>
      </c>
      <c r="F36" s="10">
        <v>0</v>
      </c>
      <c r="G36" s="10">
        <f>'Nov 2022'!G36+F36</f>
        <v>0</v>
      </c>
      <c r="H36" s="10">
        <f t="shared" si="0"/>
        <v>19368.120000000003</v>
      </c>
      <c r="I36" s="10">
        <f>'Nov 2022'!N36</f>
        <v>8.5</v>
      </c>
      <c r="J36" s="10">
        <v>0</v>
      </c>
      <c r="K36" s="10">
        <f>'Nov 2022'!K36+'Dec 2022'!J36</f>
        <v>0</v>
      </c>
      <c r="L36" s="10">
        <v>0</v>
      </c>
      <c r="M36" s="10">
        <f>'Nov 2022'!M36+'Dec 2022'!L36</f>
        <v>0</v>
      </c>
      <c r="N36" s="72">
        <f t="shared" si="1"/>
        <v>8.5</v>
      </c>
      <c r="O36" s="11">
        <f>'Nov 2022'!T36</f>
        <v>72.39</v>
      </c>
      <c r="P36" s="10">
        <v>0</v>
      </c>
      <c r="Q36" s="10">
        <f>'Nov 2022'!Q36+'Dec 2022'!P36</f>
        <v>72.39</v>
      </c>
      <c r="R36" s="10">
        <v>0</v>
      </c>
      <c r="S36" s="10">
        <f>'Nov 2022'!S36+'Dec 2022'!R36</f>
        <v>0</v>
      </c>
      <c r="T36" s="82">
        <f t="shared" si="2"/>
        <v>72.39</v>
      </c>
      <c r="U36" s="11">
        <f t="shared" si="3"/>
        <v>19449.010000000002</v>
      </c>
      <c r="V36" s="18"/>
      <c r="W36" s="18"/>
    </row>
    <row r="37" spans="1:23" ht="42.75" customHeight="1">
      <c r="A37" s="8">
        <v>24</v>
      </c>
      <c r="B37" s="9" t="s">
        <v>43</v>
      </c>
      <c r="C37" s="10">
        <f>'Nov 2022'!H37</f>
        <v>7016.6999999999989</v>
      </c>
      <c r="D37" s="10">
        <v>1.81</v>
      </c>
      <c r="E37" s="10">
        <f>'Nov 2022'!E37+'Dec 2022'!D37</f>
        <v>10.910000000000002</v>
      </c>
      <c r="F37" s="10">
        <v>0</v>
      </c>
      <c r="G37" s="10">
        <f>'Nov 2022'!G37+F37</f>
        <v>0</v>
      </c>
      <c r="H37" s="72">
        <f t="shared" si="0"/>
        <v>7018.5099999999993</v>
      </c>
      <c r="I37" s="10">
        <f>'Nov 2022'!N37</f>
        <v>0</v>
      </c>
      <c r="J37" s="10">
        <v>0</v>
      </c>
      <c r="K37" s="10">
        <f>'Nov 2022'!K37+'Dec 2022'!J37</f>
        <v>0</v>
      </c>
      <c r="L37" s="10">
        <v>0</v>
      </c>
      <c r="M37" s="10">
        <f>'Nov 2022'!M37+'Dec 2022'!L37</f>
        <v>0</v>
      </c>
      <c r="N37" s="72">
        <f t="shared" si="1"/>
        <v>0</v>
      </c>
      <c r="O37" s="11">
        <f>'Nov 2022'!T37</f>
        <v>3.1</v>
      </c>
      <c r="P37" s="10">
        <v>0</v>
      </c>
      <c r="Q37" s="10">
        <f>'Nov 2022'!Q37+'Dec 2022'!P37</f>
        <v>0</v>
      </c>
      <c r="R37" s="10">
        <v>0</v>
      </c>
      <c r="S37" s="10">
        <f>'Nov 2022'!S37+'Dec 2022'!R37</f>
        <v>0</v>
      </c>
      <c r="T37" s="82">
        <f t="shared" si="2"/>
        <v>3.1</v>
      </c>
      <c r="U37" s="11">
        <f t="shared" si="3"/>
        <v>7021.61</v>
      </c>
      <c r="V37" s="18"/>
      <c r="W37" s="18"/>
    </row>
    <row r="38" spans="1:23" s="17" customFormat="1" ht="42.75" customHeight="1">
      <c r="A38" s="14"/>
      <c r="B38" s="97" t="s">
        <v>44</v>
      </c>
      <c r="C38" s="16">
        <f>SUM(C34:C37)</f>
        <v>37059.405000000006</v>
      </c>
      <c r="D38" s="16">
        <f t="shared" ref="D38:U38" si="11">SUM(D34:D37)</f>
        <v>103.84</v>
      </c>
      <c r="E38" s="16">
        <f t="shared" si="11"/>
        <v>311.40000000000003</v>
      </c>
      <c r="F38" s="16">
        <f t="shared" si="11"/>
        <v>0</v>
      </c>
      <c r="G38" s="16">
        <f t="shared" si="11"/>
        <v>13.64</v>
      </c>
      <c r="H38" s="16">
        <f t="shared" si="11"/>
        <v>37163.245000000003</v>
      </c>
      <c r="I38" s="16">
        <f t="shared" si="11"/>
        <v>10.6</v>
      </c>
      <c r="J38" s="16">
        <f t="shared" si="11"/>
        <v>0</v>
      </c>
      <c r="K38" s="16">
        <f t="shared" si="11"/>
        <v>2</v>
      </c>
      <c r="L38" s="16">
        <f t="shared" si="11"/>
        <v>0</v>
      </c>
      <c r="M38" s="16">
        <f t="shared" si="11"/>
        <v>0</v>
      </c>
      <c r="N38" s="58">
        <f t="shared" si="11"/>
        <v>10.6</v>
      </c>
      <c r="O38" s="16">
        <f t="shared" si="11"/>
        <v>239.66</v>
      </c>
      <c r="P38" s="16">
        <f t="shared" si="11"/>
        <v>0</v>
      </c>
      <c r="Q38" s="16">
        <f t="shared" si="11"/>
        <v>220.13</v>
      </c>
      <c r="R38" s="16">
        <f t="shared" si="11"/>
        <v>0</v>
      </c>
      <c r="S38" s="16">
        <f t="shared" si="11"/>
        <v>0</v>
      </c>
      <c r="T38" s="16">
        <f t="shared" si="11"/>
        <v>239.66</v>
      </c>
      <c r="U38" s="16">
        <f t="shared" si="11"/>
        <v>37413.505000000005</v>
      </c>
      <c r="V38" s="104"/>
      <c r="W38" s="104"/>
    </row>
    <row r="39" spans="1:23" s="17" customFormat="1" ht="42.75" customHeight="1">
      <c r="A39" s="14"/>
      <c r="B39" s="15" t="s">
        <v>45</v>
      </c>
      <c r="C39" s="16">
        <f>C38+C33+C28</f>
        <v>67036.331000000006</v>
      </c>
      <c r="D39" s="16">
        <f t="shared" ref="D39:U39" si="12">D38+D33+D28</f>
        <v>142.08600000000001</v>
      </c>
      <c r="E39" s="16">
        <f t="shared" si="12"/>
        <v>841.23300000000017</v>
      </c>
      <c r="F39" s="16">
        <f t="shared" si="12"/>
        <v>0</v>
      </c>
      <c r="G39" s="16">
        <f t="shared" si="12"/>
        <v>17.02</v>
      </c>
      <c r="H39" s="16">
        <f t="shared" si="12"/>
        <v>67178.417000000001</v>
      </c>
      <c r="I39" s="16">
        <f t="shared" si="12"/>
        <v>996.73500000000001</v>
      </c>
      <c r="J39" s="16">
        <f t="shared" si="12"/>
        <v>7.99</v>
      </c>
      <c r="K39" s="16">
        <f t="shared" si="12"/>
        <v>402.43999999999994</v>
      </c>
      <c r="L39" s="16">
        <f t="shared" si="12"/>
        <v>0</v>
      </c>
      <c r="M39" s="16">
        <f t="shared" si="12"/>
        <v>0.04</v>
      </c>
      <c r="N39" s="16">
        <f t="shared" si="12"/>
        <v>1004.725</v>
      </c>
      <c r="O39" s="16">
        <f t="shared" si="12"/>
        <v>1397.02</v>
      </c>
      <c r="P39" s="16">
        <f t="shared" si="12"/>
        <v>167.01999999999998</v>
      </c>
      <c r="Q39" s="16">
        <f t="shared" si="12"/>
        <v>874.81999999999994</v>
      </c>
      <c r="R39" s="16">
        <f t="shared" si="12"/>
        <v>0</v>
      </c>
      <c r="S39" s="16">
        <f t="shared" si="12"/>
        <v>73.05</v>
      </c>
      <c r="T39" s="16">
        <f t="shared" si="12"/>
        <v>1564.04</v>
      </c>
      <c r="U39" s="16">
        <f t="shared" si="12"/>
        <v>69747.182000000001</v>
      </c>
      <c r="V39" s="104"/>
      <c r="W39" s="104"/>
    </row>
    <row r="40" spans="1:23" ht="42.75" customHeight="1">
      <c r="A40" s="8">
        <v>25</v>
      </c>
      <c r="B40" s="9" t="s">
        <v>46</v>
      </c>
      <c r="C40" s="10">
        <f>'Nov 2022'!H40</f>
        <v>13873.068000000003</v>
      </c>
      <c r="D40" s="10">
        <f>8.29-5.66</f>
        <v>2.629999999999999</v>
      </c>
      <c r="E40" s="10">
        <f>'Nov 2022'!E40+'Dec 2022'!D40</f>
        <v>90.84999999999998</v>
      </c>
      <c r="F40" s="10">
        <v>0</v>
      </c>
      <c r="G40" s="10">
        <f>'Nov 2022'!G40+F40</f>
        <v>0.24</v>
      </c>
      <c r="H40" s="72">
        <f t="shared" si="0"/>
        <v>13875.698000000002</v>
      </c>
      <c r="I40" s="10">
        <f>'Nov 2022'!N40</f>
        <v>226.8</v>
      </c>
      <c r="J40" s="10">
        <v>0</v>
      </c>
      <c r="K40" s="10">
        <f>'Nov 2022'!K40+'Dec 2022'!J40</f>
        <v>226.8</v>
      </c>
      <c r="L40" s="10">
        <v>0</v>
      </c>
      <c r="M40" s="10">
        <f>'Nov 2022'!M40+'Dec 2022'!L40</f>
        <v>0</v>
      </c>
      <c r="N40" s="72">
        <f t="shared" si="1"/>
        <v>226.8</v>
      </c>
      <c r="O40" s="11">
        <f>'Nov 2022'!T40</f>
        <v>75.02000000000001</v>
      </c>
      <c r="P40" s="10">
        <v>0</v>
      </c>
      <c r="Q40" s="10">
        <f>'Nov 2022'!Q40+'Dec 2022'!P40</f>
        <v>75.02000000000001</v>
      </c>
      <c r="R40" s="10">
        <v>0</v>
      </c>
      <c r="S40" s="10">
        <f>'Nov 2022'!S40+'Dec 2022'!R40</f>
        <v>0</v>
      </c>
      <c r="T40" s="82">
        <f t="shared" si="2"/>
        <v>75.02000000000001</v>
      </c>
      <c r="U40" s="11">
        <f t="shared" si="3"/>
        <v>14177.518000000002</v>
      </c>
      <c r="V40" s="12"/>
      <c r="W40" s="12"/>
    </row>
    <row r="41" spans="1:23" ht="42.75" customHeight="1">
      <c r="A41" s="8">
        <v>26</v>
      </c>
      <c r="B41" s="9" t="s">
        <v>47</v>
      </c>
      <c r="C41" s="10">
        <f>'Nov 2022'!H41</f>
        <v>10524.765999999994</v>
      </c>
      <c r="D41" s="10">
        <f>6.1+56.74</f>
        <v>62.84</v>
      </c>
      <c r="E41" s="10">
        <f>'Nov 2022'!E41+'Dec 2022'!D41</f>
        <v>477.89</v>
      </c>
      <c r="F41" s="10">
        <v>0</v>
      </c>
      <c r="G41" s="10">
        <f>'Nov 2022'!G41+F41</f>
        <v>0</v>
      </c>
      <c r="H41" s="72">
        <f t="shared" si="0"/>
        <v>10587.605999999994</v>
      </c>
      <c r="I41" s="10">
        <f>'Nov 2022'!N41</f>
        <v>0</v>
      </c>
      <c r="J41" s="10">
        <v>0</v>
      </c>
      <c r="K41" s="10">
        <f>'Nov 2022'!K41+'Dec 2022'!J41</f>
        <v>0</v>
      </c>
      <c r="L41" s="10">
        <v>0</v>
      </c>
      <c r="M41" s="10">
        <f>'Nov 2022'!M41+'Dec 2022'!L41</f>
        <v>0</v>
      </c>
      <c r="N41" s="72">
        <f t="shared" si="1"/>
        <v>0</v>
      </c>
      <c r="O41" s="11">
        <f>'Nov 2022'!T41</f>
        <v>89.580000000000013</v>
      </c>
      <c r="P41" s="10">
        <v>0</v>
      </c>
      <c r="Q41" s="10">
        <f>'Nov 2022'!Q41+'Dec 2022'!P41</f>
        <v>89.580000000000013</v>
      </c>
      <c r="R41" s="10">
        <v>0</v>
      </c>
      <c r="S41" s="10">
        <f>'Nov 2022'!S41+'Dec 2022'!R41</f>
        <v>0</v>
      </c>
      <c r="T41" s="82">
        <f t="shared" si="2"/>
        <v>89.580000000000013</v>
      </c>
      <c r="U41" s="11">
        <f t="shared" si="3"/>
        <v>10677.185999999994</v>
      </c>
      <c r="V41" s="12"/>
      <c r="W41" s="12"/>
    </row>
    <row r="42" spans="1:23" ht="42.75" customHeight="1">
      <c r="A42" s="8">
        <v>27</v>
      </c>
      <c r="B42" s="9" t="s">
        <v>48</v>
      </c>
      <c r="C42" s="10">
        <f>'Nov 2022'!H42</f>
        <v>23945.484</v>
      </c>
      <c r="D42" s="10">
        <v>18.88</v>
      </c>
      <c r="E42" s="10">
        <f>'Nov 2022'!E42+'Dec 2022'!D42</f>
        <v>76.809999999999988</v>
      </c>
      <c r="F42" s="10">
        <v>0</v>
      </c>
      <c r="G42" s="10">
        <f>'Nov 2022'!G42+F42</f>
        <v>0</v>
      </c>
      <c r="H42" s="10">
        <f t="shared" si="0"/>
        <v>23964.364000000001</v>
      </c>
      <c r="I42" s="10">
        <f>'Nov 2022'!N42</f>
        <v>0</v>
      </c>
      <c r="J42" s="10">
        <v>0</v>
      </c>
      <c r="K42" s="10">
        <f>'Nov 2022'!K42+'Dec 2022'!J42</f>
        <v>0</v>
      </c>
      <c r="L42" s="10">
        <v>0</v>
      </c>
      <c r="M42" s="10">
        <f>'Nov 2022'!M42+'Dec 2022'!L42</f>
        <v>0</v>
      </c>
      <c r="N42" s="72">
        <f t="shared" si="1"/>
        <v>0</v>
      </c>
      <c r="O42" s="11">
        <f>'Nov 2022'!T42</f>
        <v>38.47</v>
      </c>
      <c r="P42" s="10">
        <v>0</v>
      </c>
      <c r="Q42" s="10">
        <f>'Nov 2022'!Q42+'Dec 2022'!P42</f>
        <v>38.47</v>
      </c>
      <c r="R42" s="10">
        <v>0</v>
      </c>
      <c r="S42" s="10">
        <f>'Nov 2022'!S42+'Dec 2022'!R42</f>
        <v>0</v>
      </c>
      <c r="T42" s="82">
        <f t="shared" si="2"/>
        <v>38.47</v>
      </c>
      <c r="U42" s="11">
        <f t="shared" si="3"/>
        <v>24002.834000000003</v>
      </c>
      <c r="V42" s="12"/>
      <c r="W42" s="12"/>
    </row>
    <row r="43" spans="1:23" ht="42.75" customHeight="1">
      <c r="A43" s="8">
        <v>28</v>
      </c>
      <c r="B43" s="9" t="s">
        <v>49</v>
      </c>
      <c r="C43" s="10">
        <f>'Nov 2022'!H43</f>
        <v>2450.9730000000004</v>
      </c>
      <c r="D43" s="10">
        <v>7.91</v>
      </c>
      <c r="E43" s="10">
        <f>'Nov 2022'!E43+'Dec 2022'!D43</f>
        <v>172.42</v>
      </c>
      <c r="F43" s="10">
        <v>0</v>
      </c>
      <c r="G43" s="10">
        <f>'Nov 2022'!G43+F43</f>
        <v>0</v>
      </c>
      <c r="H43" s="10">
        <f t="shared" si="0"/>
        <v>2458.8830000000003</v>
      </c>
      <c r="I43" s="10">
        <f>'Nov 2022'!N43</f>
        <v>0</v>
      </c>
      <c r="J43" s="10">
        <v>0</v>
      </c>
      <c r="K43" s="10">
        <f>'Nov 2022'!K43+'Dec 2022'!J43</f>
        <v>0</v>
      </c>
      <c r="L43" s="10">
        <v>0</v>
      </c>
      <c r="M43" s="10">
        <f>'Nov 2022'!M43+'Dec 2022'!L43</f>
        <v>0</v>
      </c>
      <c r="N43" s="72">
        <f t="shared" si="1"/>
        <v>0</v>
      </c>
      <c r="O43" s="11">
        <f>'Nov 2022'!T43</f>
        <v>146.49</v>
      </c>
      <c r="P43" s="10">
        <v>0</v>
      </c>
      <c r="Q43" s="10">
        <f>'Nov 2022'!Q43+'Dec 2022'!P43</f>
        <v>146.49</v>
      </c>
      <c r="R43" s="10">
        <v>0</v>
      </c>
      <c r="S43" s="10">
        <f>'Nov 2022'!S43+'Dec 2022'!R43</f>
        <v>0</v>
      </c>
      <c r="T43" s="82">
        <f t="shared" si="2"/>
        <v>146.49</v>
      </c>
      <c r="U43" s="11">
        <f t="shared" si="3"/>
        <v>2605.3730000000005</v>
      </c>
      <c r="V43" s="12"/>
      <c r="W43" s="12"/>
    </row>
    <row r="44" spans="1:23" s="17" customFormat="1" ht="42.75" customHeight="1">
      <c r="A44" s="14"/>
      <c r="B44" s="97" t="s">
        <v>50</v>
      </c>
      <c r="C44" s="16">
        <f>SUM(C40:C43)</f>
        <v>50794.290999999997</v>
      </c>
      <c r="D44" s="16">
        <f t="shared" ref="D44:U44" si="13">SUM(D40:D43)</f>
        <v>92.259999999999991</v>
      </c>
      <c r="E44" s="16">
        <f t="shared" si="13"/>
        <v>817.96999999999991</v>
      </c>
      <c r="F44" s="16">
        <f t="shared" si="13"/>
        <v>0</v>
      </c>
      <c r="G44" s="16">
        <f t="shared" si="13"/>
        <v>0.24</v>
      </c>
      <c r="H44" s="16">
        <f t="shared" si="13"/>
        <v>50886.550999999999</v>
      </c>
      <c r="I44" s="16">
        <f t="shared" si="13"/>
        <v>226.8</v>
      </c>
      <c r="J44" s="16">
        <f t="shared" si="13"/>
        <v>0</v>
      </c>
      <c r="K44" s="16">
        <f t="shared" si="13"/>
        <v>226.8</v>
      </c>
      <c r="L44" s="16">
        <f t="shared" si="13"/>
        <v>0</v>
      </c>
      <c r="M44" s="16">
        <f t="shared" si="13"/>
        <v>0</v>
      </c>
      <c r="N44" s="16">
        <f t="shared" si="13"/>
        <v>226.8</v>
      </c>
      <c r="O44" s="16">
        <f t="shared" si="13"/>
        <v>349.56000000000006</v>
      </c>
      <c r="P44" s="16">
        <f t="shared" si="13"/>
        <v>0</v>
      </c>
      <c r="Q44" s="16">
        <f t="shared" si="13"/>
        <v>349.56000000000006</v>
      </c>
      <c r="R44" s="16">
        <f t="shared" si="13"/>
        <v>0</v>
      </c>
      <c r="S44" s="16">
        <f t="shared" si="13"/>
        <v>0</v>
      </c>
      <c r="T44" s="16">
        <f t="shared" si="13"/>
        <v>349.56000000000006</v>
      </c>
      <c r="U44" s="16">
        <f t="shared" si="13"/>
        <v>51462.911</v>
      </c>
      <c r="V44" s="104"/>
      <c r="W44" s="104"/>
    </row>
    <row r="45" spans="1:23" ht="42.75" customHeight="1">
      <c r="A45" s="8">
        <v>29</v>
      </c>
      <c r="B45" s="9" t="s">
        <v>51</v>
      </c>
      <c r="C45" s="10">
        <f>'Nov 2022'!H45</f>
        <v>14088.514999999999</v>
      </c>
      <c r="D45" s="10">
        <v>8.7799999999999994</v>
      </c>
      <c r="E45" s="10">
        <f>'Nov 2022'!E45+'Dec 2022'!D45</f>
        <v>143.245</v>
      </c>
      <c r="F45" s="10">
        <v>0</v>
      </c>
      <c r="G45" s="10">
        <f>'Nov 2022'!G45+F45</f>
        <v>0</v>
      </c>
      <c r="H45" s="72">
        <f>C45+D45-F45</f>
        <v>14097.295</v>
      </c>
      <c r="I45" s="10">
        <f>'Nov 2022'!N45</f>
        <v>6.67</v>
      </c>
      <c r="J45" s="10">
        <v>0</v>
      </c>
      <c r="K45" s="10">
        <f>'Nov 2022'!K45+'Dec 2022'!J45</f>
        <v>0.04</v>
      </c>
      <c r="L45" s="10">
        <v>0</v>
      </c>
      <c r="M45" s="10">
        <f>'Nov 2022'!M45+'Dec 2022'!L45</f>
        <v>0</v>
      </c>
      <c r="N45" s="72">
        <f t="shared" si="1"/>
        <v>6.67</v>
      </c>
      <c r="O45" s="11">
        <f>'Nov 2022'!T45</f>
        <v>105.87000000000002</v>
      </c>
      <c r="P45" s="10">
        <v>0</v>
      </c>
      <c r="Q45" s="10">
        <f>'Nov 2022'!Q45+'Dec 2022'!P45</f>
        <v>75.7</v>
      </c>
      <c r="R45" s="10">
        <v>0</v>
      </c>
      <c r="S45" s="10">
        <f>'Nov 2022'!S45+'Dec 2022'!R45</f>
        <v>0</v>
      </c>
      <c r="T45" s="82">
        <f t="shared" si="2"/>
        <v>105.87000000000002</v>
      </c>
      <c r="U45" s="11">
        <f t="shared" si="3"/>
        <v>14209.835000000001</v>
      </c>
      <c r="V45" s="115"/>
      <c r="W45" s="12"/>
    </row>
    <row r="46" spans="1:23" ht="42.75" customHeight="1">
      <c r="A46" s="8">
        <v>30</v>
      </c>
      <c r="B46" s="9" t="s">
        <v>52</v>
      </c>
      <c r="C46" s="10">
        <f>'Nov 2022'!H46</f>
        <v>7312.9549999999981</v>
      </c>
      <c r="D46" s="10">
        <v>21.09</v>
      </c>
      <c r="E46" s="10">
        <f>'Nov 2022'!E46+'Dec 2022'!D46</f>
        <v>68.685000000000002</v>
      </c>
      <c r="F46" s="10">
        <v>0</v>
      </c>
      <c r="G46" s="10">
        <f>'Nov 2022'!G46+F46</f>
        <v>0</v>
      </c>
      <c r="H46" s="72">
        <f t="shared" si="0"/>
        <v>7334.0449999999983</v>
      </c>
      <c r="I46" s="10">
        <f>'Nov 2022'!N46</f>
        <v>0</v>
      </c>
      <c r="J46" s="10">
        <v>0</v>
      </c>
      <c r="K46" s="10">
        <f>'Nov 2022'!K46+'Dec 2022'!J46</f>
        <v>0</v>
      </c>
      <c r="L46" s="10">
        <v>0</v>
      </c>
      <c r="M46" s="10">
        <f>'Nov 2022'!M46+'Dec 2022'!L46</f>
        <v>0</v>
      </c>
      <c r="N46" s="72">
        <f t="shared" si="1"/>
        <v>0</v>
      </c>
      <c r="O46" s="11">
        <f>'Nov 2022'!T46</f>
        <v>7.5900000000000007</v>
      </c>
      <c r="P46" s="10">
        <v>0</v>
      </c>
      <c r="Q46" s="10">
        <f>'Nov 2022'!Q46+'Dec 2022'!P46</f>
        <v>0</v>
      </c>
      <c r="R46" s="10">
        <v>0</v>
      </c>
      <c r="S46" s="10">
        <f>'Nov 2022'!S46+'Dec 2022'!R46</f>
        <v>0.31</v>
      </c>
      <c r="T46" s="82">
        <f t="shared" si="2"/>
        <v>7.5900000000000007</v>
      </c>
      <c r="U46" s="11">
        <f t="shared" si="3"/>
        <v>7341.6349999999984</v>
      </c>
      <c r="V46" s="115"/>
      <c r="W46" s="12"/>
    </row>
    <row r="47" spans="1:23" ht="42.75" customHeight="1">
      <c r="A47" s="8">
        <v>31</v>
      </c>
      <c r="B47" s="9" t="s">
        <v>53</v>
      </c>
      <c r="C47" s="10">
        <f>'Nov 2022'!H47</f>
        <v>12303.690000000002</v>
      </c>
      <c r="D47" s="10">
        <v>0.04</v>
      </c>
      <c r="E47" s="10">
        <f>'Nov 2022'!E47+'Dec 2022'!D47</f>
        <v>10.469999999999999</v>
      </c>
      <c r="F47" s="10">
        <v>0</v>
      </c>
      <c r="G47" s="10">
        <f>'Nov 2022'!G47+F47</f>
        <v>0</v>
      </c>
      <c r="H47" s="72">
        <f t="shared" si="0"/>
        <v>12303.730000000003</v>
      </c>
      <c r="I47" s="10">
        <f>'Nov 2022'!N47</f>
        <v>1.2999999999999998</v>
      </c>
      <c r="J47" s="10">
        <v>0</v>
      </c>
      <c r="K47" s="10">
        <f>'Nov 2022'!K47+'Dec 2022'!J47</f>
        <v>0</v>
      </c>
      <c r="L47" s="10">
        <v>0</v>
      </c>
      <c r="M47" s="10">
        <f>'Nov 2022'!M47+'Dec 2022'!L47</f>
        <v>0</v>
      </c>
      <c r="N47" s="72">
        <f t="shared" si="1"/>
        <v>1.2999999999999998</v>
      </c>
      <c r="O47" s="11">
        <f>'Nov 2022'!T47</f>
        <v>86.18</v>
      </c>
      <c r="P47" s="10">
        <v>0</v>
      </c>
      <c r="Q47" s="10">
        <f>'Nov 2022'!Q47+'Dec 2022'!P47</f>
        <v>0</v>
      </c>
      <c r="R47" s="10">
        <v>0</v>
      </c>
      <c r="S47" s="10">
        <f>'Nov 2022'!S47+'Dec 2022'!R47</f>
        <v>0.1</v>
      </c>
      <c r="T47" s="82">
        <f t="shared" si="2"/>
        <v>86.18</v>
      </c>
      <c r="U47" s="11">
        <f t="shared" si="3"/>
        <v>12391.210000000003</v>
      </c>
      <c r="V47" s="115"/>
      <c r="W47" s="12"/>
    </row>
    <row r="48" spans="1:23" ht="42.75" customHeight="1">
      <c r="A48" s="8">
        <v>32</v>
      </c>
      <c r="B48" s="9" t="s">
        <v>54</v>
      </c>
      <c r="C48" s="10">
        <f>'Nov 2022'!H48</f>
        <v>11103.902000000009</v>
      </c>
      <c r="D48" s="10">
        <v>1.65</v>
      </c>
      <c r="E48" s="10">
        <f>'Nov 2022'!E48+'Dec 2022'!D48</f>
        <v>15.36</v>
      </c>
      <c r="F48" s="10">
        <v>0</v>
      </c>
      <c r="G48" s="10">
        <f>'Nov 2022'!G48+F48</f>
        <v>0</v>
      </c>
      <c r="H48" s="72">
        <f t="shared" si="0"/>
        <v>11105.552000000009</v>
      </c>
      <c r="I48" s="10">
        <f>'Nov 2022'!N48</f>
        <v>0</v>
      </c>
      <c r="J48" s="10">
        <v>0</v>
      </c>
      <c r="K48" s="10">
        <f>'Nov 2022'!K48+'Dec 2022'!J48</f>
        <v>0</v>
      </c>
      <c r="L48" s="10">
        <v>0</v>
      </c>
      <c r="M48" s="10">
        <f>'Nov 2022'!M48+'Dec 2022'!L48</f>
        <v>0</v>
      </c>
      <c r="N48" s="72">
        <f t="shared" si="1"/>
        <v>0</v>
      </c>
      <c r="O48" s="11">
        <f>'Nov 2022'!T48</f>
        <v>30.53</v>
      </c>
      <c r="P48" s="10">
        <v>0</v>
      </c>
      <c r="Q48" s="10">
        <f>'Nov 2022'!Q48+'Dec 2022'!P48</f>
        <v>0.53</v>
      </c>
      <c r="R48" s="10">
        <v>0</v>
      </c>
      <c r="S48" s="10">
        <f>'Nov 2022'!S48+'Dec 2022'!R48</f>
        <v>0</v>
      </c>
      <c r="T48" s="82">
        <f t="shared" si="2"/>
        <v>30.53</v>
      </c>
      <c r="U48" s="11">
        <f t="shared" si="3"/>
        <v>11136.082000000009</v>
      </c>
      <c r="V48" s="115"/>
      <c r="W48" s="12"/>
    </row>
    <row r="49" spans="1:23" s="17" customFormat="1" ht="42.75" customHeight="1">
      <c r="A49" s="14"/>
      <c r="B49" s="97" t="s">
        <v>55</v>
      </c>
      <c r="C49" s="16">
        <f>SUM(C45:C48)</f>
        <v>44809.062000000013</v>
      </c>
      <c r="D49" s="16">
        <f t="shared" ref="D49:U49" si="14">SUM(D45:D48)</f>
        <v>31.559999999999995</v>
      </c>
      <c r="E49" s="16">
        <f t="shared" si="14"/>
        <v>237.76</v>
      </c>
      <c r="F49" s="16">
        <f t="shared" si="14"/>
        <v>0</v>
      </c>
      <c r="G49" s="16">
        <f t="shared" si="14"/>
        <v>0</v>
      </c>
      <c r="H49" s="16">
        <f t="shared" si="14"/>
        <v>44840.62200000001</v>
      </c>
      <c r="I49" s="16">
        <f t="shared" si="14"/>
        <v>7.97</v>
      </c>
      <c r="J49" s="16">
        <f t="shared" si="14"/>
        <v>0</v>
      </c>
      <c r="K49" s="16">
        <f t="shared" si="14"/>
        <v>0.04</v>
      </c>
      <c r="L49" s="16">
        <f t="shared" si="14"/>
        <v>0</v>
      </c>
      <c r="M49" s="16">
        <f t="shared" si="14"/>
        <v>0</v>
      </c>
      <c r="N49" s="16">
        <f t="shared" si="14"/>
        <v>7.97</v>
      </c>
      <c r="O49" s="16">
        <f t="shared" si="14"/>
        <v>230.17000000000004</v>
      </c>
      <c r="P49" s="16">
        <f t="shared" si="14"/>
        <v>0</v>
      </c>
      <c r="Q49" s="16">
        <f t="shared" si="14"/>
        <v>76.23</v>
      </c>
      <c r="R49" s="16">
        <f t="shared" si="14"/>
        <v>0</v>
      </c>
      <c r="S49" s="16">
        <f t="shared" si="14"/>
        <v>0.41000000000000003</v>
      </c>
      <c r="T49" s="16">
        <f t="shared" si="14"/>
        <v>230.17000000000004</v>
      </c>
      <c r="U49" s="16">
        <f t="shared" si="14"/>
        <v>45078.762000000017</v>
      </c>
      <c r="V49" s="104"/>
      <c r="W49" s="104"/>
    </row>
    <row r="50" spans="1:23" s="17" customFormat="1" ht="42.75" customHeight="1">
      <c r="A50" s="14"/>
      <c r="B50" s="15" t="s">
        <v>56</v>
      </c>
      <c r="C50" s="16">
        <f>C49+C44</f>
        <v>95603.353000000003</v>
      </c>
      <c r="D50" s="16">
        <f t="shared" ref="D50:U50" si="15">D49+D44</f>
        <v>123.82</v>
      </c>
      <c r="E50" s="16">
        <f t="shared" si="15"/>
        <v>1055.73</v>
      </c>
      <c r="F50" s="16">
        <f t="shared" si="15"/>
        <v>0</v>
      </c>
      <c r="G50" s="16">
        <f t="shared" si="15"/>
        <v>0.24</v>
      </c>
      <c r="H50" s="16">
        <f t="shared" si="15"/>
        <v>95727.17300000001</v>
      </c>
      <c r="I50" s="16">
        <f t="shared" si="15"/>
        <v>234.77</v>
      </c>
      <c r="J50" s="16">
        <f t="shared" si="15"/>
        <v>0</v>
      </c>
      <c r="K50" s="16">
        <f t="shared" si="15"/>
        <v>226.84</v>
      </c>
      <c r="L50" s="16">
        <f t="shared" si="15"/>
        <v>0</v>
      </c>
      <c r="M50" s="16">
        <f t="shared" si="15"/>
        <v>0</v>
      </c>
      <c r="N50" s="16">
        <f t="shared" si="15"/>
        <v>234.77</v>
      </c>
      <c r="O50" s="16">
        <f t="shared" si="15"/>
        <v>579.73000000000013</v>
      </c>
      <c r="P50" s="16">
        <f t="shared" si="15"/>
        <v>0</v>
      </c>
      <c r="Q50" s="16">
        <f t="shared" si="15"/>
        <v>425.79000000000008</v>
      </c>
      <c r="R50" s="16">
        <f t="shared" si="15"/>
        <v>0</v>
      </c>
      <c r="S50" s="16">
        <f t="shared" si="15"/>
        <v>0.41000000000000003</v>
      </c>
      <c r="T50" s="16">
        <f t="shared" si="15"/>
        <v>579.73000000000013</v>
      </c>
      <c r="U50" s="16">
        <f t="shared" si="15"/>
        <v>96541.67300000001</v>
      </c>
      <c r="V50" s="104"/>
      <c r="W50" s="104"/>
    </row>
    <row r="51" spans="1:23" s="17" customFormat="1" ht="42.75" customHeight="1">
      <c r="A51" s="14"/>
      <c r="B51" s="15" t="s">
        <v>57</v>
      </c>
      <c r="C51" s="16">
        <f>C50+C39+C25</f>
        <v>172567.23699999999</v>
      </c>
      <c r="D51" s="16">
        <f t="shared" ref="D51:U51" si="16">D50+D39+D25</f>
        <v>271.166</v>
      </c>
      <c r="E51" s="16">
        <f t="shared" si="16"/>
        <v>2032.2030000000002</v>
      </c>
      <c r="F51" s="16">
        <f t="shared" si="16"/>
        <v>0</v>
      </c>
      <c r="G51" s="16">
        <f t="shared" si="16"/>
        <v>1065.1600000000001</v>
      </c>
      <c r="H51" s="16">
        <f t="shared" si="16"/>
        <v>172838.40300000002</v>
      </c>
      <c r="I51" s="16">
        <f t="shared" si="16"/>
        <v>2791.1320000000005</v>
      </c>
      <c r="J51" s="16">
        <f t="shared" si="16"/>
        <v>25.512</v>
      </c>
      <c r="K51" s="16">
        <f t="shared" si="16"/>
        <v>772.05099999999993</v>
      </c>
      <c r="L51" s="16">
        <f t="shared" si="16"/>
        <v>0</v>
      </c>
      <c r="M51" s="16">
        <f t="shared" si="16"/>
        <v>2.4900000000000002</v>
      </c>
      <c r="N51" s="16">
        <f t="shared" si="16"/>
        <v>2816.6440000000002</v>
      </c>
      <c r="O51" s="16">
        <f t="shared" si="16"/>
        <v>8456.0439999999999</v>
      </c>
      <c r="P51" s="16">
        <f t="shared" si="16"/>
        <v>236.32</v>
      </c>
      <c r="Q51" s="16">
        <f t="shared" si="16"/>
        <v>3182.7300000000005</v>
      </c>
      <c r="R51" s="16">
        <f t="shared" si="16"/>
        <v>0</v>
      </c>
      <c r="S51" s="16">
        <f t="shared" si="16"/>
        <v>144.46999999999997</v>
      </c>
      <c r="T51" s="16">
        <f t="shared" si="16"/>
        <v>8692.3639999999996</v>
      </c>
      <c r="U51" s="16">
        <f t="shared" si="16"/>
        <v>184347.41100000002</v>
      </c>
      <c r="V51" s="104"/>
      <c r="W51" s="104"/>
    </row>
    <row r="52" spans="1:23" s="23" customFormat="1" ht="42.75" hidden="1" customHeight="1">
      <c r="A52" s="19"/>
      <c r="B52" s="20"/>
      <c r="C52" s="10">
        <f>'Nov 2022'!H52</f>
        <v>0</v>
      </c>
      <c r="D52" s="21"/>
      <c r="E52" s="10">
        <f>'Nov 2022'!E52+'Dec 2022'!D52</f>
        <v>0</v>
      </c>
      <c r="F52" s="21"/>
      <c r="G52" s="10">
        <f>'Nov 2022'!G52+F52</f>
        <v>0</v>
      </c>
      <c r="H52" s="10">
        <f t="shared" si="0"/>
        <v>0</v>
      </c>
      <c r="I52" s="10">
        <f>'Nov 2022'!N52</f>
        <v>0</v>
      </c>
      <c r="J52" s="21"/>
      <c r="K52" s="10">
        <f>'Nov 2022'!K52+'Dec 2022'!J52</f>
        <v>0</v>
      </c>
      <c r="L52" s="21"/>
      <c r="M52" s="10">
        <f>'Nov 2022'!M52+'Dec 2022'!L52</f>
        <v>0</v>
      </c>
      <c r="N52" s="21"/>
      <c r="O52" s="21"/>
      <c r="P52" s="21"/>
      <c r="Q52" s="10">
        <f>'Nov 2022'!Q52+'Dec 2022'!P52</f>
        <v>0</v>
      </c>
      <c r="R52" s="21"/>
      <c r="S52" s="10">
        <f>'Nov 2022'!S52+'Dec 2022'!R52</f>
        <v>0</v>
      </c>
      <c r="T52" s="21"/>
      <c r="U52" s="21"/>
      <c r="V52" s="21"/>
      <c r="W52" s="21"/>
    </row>
    <row r="53" spans="1:23" s="23" customFormat="1" hidden="1">
      <c r="A53" s="19"/>
      <c r="B53" s="20"/>
      <c r="C53" s="10">
        <f>'Nov 2022'!H53</f>
        <v>0</v>
      </c>
      <c r="D53" s="21"/>
      <c r="E53" s="10">
        <f>'Nov 2022'!E53+'Dec 2022'!D53</f>
        <v>0</v>
      </c>
      <c r="F53" s="21"/>
      <c r="G53" s="10">
        <f>'Nov 2022'!G53+F53</f>
        <v>0</v>
      </c>
      <c r="H53" s="10">
        <f t="shared" si="0"/>
        <v>0</v>
      </c>
      <c r="I53" s="10">
        <f>'Nov 2022'!N53</f>
        <v>0</v>
      </c>
      <c r="J53" s="21"/>
      <c r="K53" s="10">
        <f>'Nov 2022'!K53+'Dec 2022'!J53</f>
        <v>0</v>
      </c>
      <c r="L53" s="21"/>
      <c r="M53" s="10">
        <f>'Nov 2022'!M53+'Dec 2022'!L53</f>
        <v>0</v>
      </c>
      <c r="N53" s="21"/>
      <c r="O53" s="21"/>
      <c r="P53" s="24"/>
      <c r="Q53" s="10">
        <f>'Nov 2022'!Q53+'Dec 2022'!P53</f>
        <v>0</v>
      </c>
      <c r="R53" s="21"/>
      <c r="S53" s="10">
        <f>'Nov 2022'!S53+'Dec 2022'!R53</f>
        <v>0</v>
      </c>
      <c r="T53" s="25"/>
      <c r="U53" s="21"/>
      <c r="V53" s="21"/>
      <c r="W53" s="21"/>
    </row>
    <row r="54" spans="1:23" s="23" customFormat="1">
      <c r="A54" s="19"/>
      <c r="B54" s="20"/>
      <c r="C54" s="21"/>
      <c r="D54" s="21"/>
      <c r="E54" s="22"/>
      <c r="F54" s="21"/>
      <c r="G54" s="21"/>
      <c r="H54" s="21"/>
      <c r="I54" s="24"/>
      <c r="J54" s="21"/>
      <c r="K54" s="22"/>
      <c r="L54" s="21"/>
      <c r="M54" s="24"/>
      <c r="N54" s="21" t="s">
        <v>66</v>
      </c>
      <c r="O54" s="21"/>
      <c r="P54" s="24"/>
      <c r="Q54" s="22"/>
      <c r="R54" s="21"/>
      <c r="S54" s="24"/>
      <c r="T54" s="25"/>
      <c r="U54" s="21"/>
      <c r="V54" s="21"/>
      <c r="W54" s="21"/>
    </row>
    <row r="55" spans="1:23" s="23" customFormat="1">
      <c r="A55" s="19"/>
      <c r="B55" s="20"/>
      <c r="C55" s="21"/>
      <c r="D55" s="21"/>
      <c r="E55" s="22"/>
      <c r="F55" s="21"/>
      <c r="G55" s="21"/>
      <c r="H55" s="21"/>
      <c r="I55" s="24"/>
      <c r="J55" s="21"/>
      <c r="K55" s="22"/>
      <c r="L55" s="21"/>
      <c r="M55" s="24"/>
      <c r="N55" s="21"/>
      <c r="O55" s="21"/>
      <c r="P55" s="24"/>
      <c r="Q55" s="22"/>
      <c r="R55" s="21"/>
      <c r="S55" s="24"/>
      <c r="T55" s="25"/>
      <c r="U55" s="21"/>
      <c r="V55" s="21"/>
      <c r="W55" s="21"/>
    </row>
    <row r="56" spans="1:23" s="17" customFormat="1" ht="57" customHeight="1">
      <c r="A56" s="26"/>
      <c r="B56" s="27"/>
      <c r="C56" s="28"/>
      <c r="D56" s="112" t="s">
        <v>58</v>
      </c>
      <c r="E56" s="112"/>
      <c r="F56" s="112"/>
      <c r="G56" s="112"/>
      <c r="H56" s="104">
        <f>D51+J51+P51-F51-L51-R51</f>
        <v>532.99800000000005</v>
      </c>
      <c r="I56" s="104"/>
      <c r="J56" s="104"/>
      <c r="K56" s="104"/>
      <c r="L56" s="104"/>
      <c r="M56" s="104"/>
      <c r="N56" s="104"/>
      <c r="O56" s="29"/>
      <c r="P56" s="104"/>
      <c r="Q56" s="104"/>
      <c r="R56" s="104"/>
      <c r="S56" s="104"/>
      <c r="T56" s="104"/>
      <c r="U56" s="105"/>
      <c r="V56" s="105"/>
      <c r="W56" s="105"/>
    </row>
    <row r="57" spans="1:23" s="17" customFormat="1" ht="66" customHeight="1">
      <c r="A57" s="26"/>
      <c r="B57" s="27"/>
      <c r="C57" s="104"/>
      <c r="D57" s="112" t="s">
        <v>59</v>
      </c>
      <c r="E57" s="112"/>
      <c r="F57" s="112"/>
      <c r="G57" s="112"/>
      <c r="H57" s="104">
        <f>E51+K51+Q51-G51-M51-S51</f>
        <v>4774.8640000000005</v>
      </c>
      <c r="I57" s="104"/>
      <c r="J57" s="104"/>
      <c r="K57" s="104"/>
      <c r="L57" s="104"/>
      <c r="M57" s="104"/>
      <c r="N57" s="104"/>
      <c r="O57" s="29"/>
      <c r="P57" s="104"/>
      <c r="Q57" s="104"/>
      <c r="R57" s="104"/>
      <c r="S57" s="104"/>
      <c r="T57" s="104"/>
      <c r="U57" s="105"/>
      <c r="V57" s="105"/>
      <c r="W57" s="105"/>
    </row>
    <row r="58" spans="1:23" ht="54" customHeight="1">
      <c r="C58" s="28"/>
      <c r="D58" s="112" t="s">
        <v>60</v>
      </c>
      <c r="E58" s="112"/>
      <c r="F58" s="112"/>
      <c r="G58" s="112"/>
      <c r="H58" s="104">
        <f>H51+N51+T51</f>
        <v>184347.41100000002</v>
      </c>
      <c r="I58" s="31"/>
      <c r="J58" s="31"/>
      <c r="K58" s="31"/>
      <c r="L58" s="32"/>
      <c r="M58" s="32"/>
      <c r="N58" s="45" t="e">
        <f>#REF!+'Dec 2022'!H56</f>
        <v>#REF!</v>
      </c>
      <c r="O58" s="12"/>
      <c r="P58" s="31"/>
      <c r="Q58" s="31"/>
      <c r="T58" s="41"/>
      <c r="U58" s="12"/>
      <c r="V58" s="12"/>
      <c r="W58" s="12"/>
    </row>
    <row r="59" spans="1:23" ht="42.75" customHeight="1">
      <c r="C59" s="105"/>
      <c r="D59" s="105"/>
      <c r="E59" s="1"/>
      <c r="H59" s="31"/>
      <c r="J59" s="33" t="e">
        <f>#REF!+'Dec 2022'!H56</f>
        <v>#REF!</v>
      </c>
      <c r="K59" s="31"/>
      <c r="L59" s="33" t="e">
        <f>#REF!+'Dec 2022'!H56</f>
        <v>#REF!</v>
      </c>
      <c r="M59" s="31"/>
      <c r="O59" s="12"/>
    </row>
    <row r="60" spans="1:23" s="17" customFormat="1" ht="78.75" customHeight="1">
      <c r="B60" s="114" t="s">
        <v>61</v>
      </c>
      <c r="C60" s="114"/>
      <c r="D60" s="114"/>
      <c r="E60" s="114"/>
      <c r="F60" s="114"/>
      <c r="H60" s="1"/>
      <c r="I60" s="34" t="e">
        <f>#REF!+'Dec 2022'!H56</f>
        <v>#REF!</v>
      </c>
      <c r="J60" s="1"/>
      <c r="K60" s="31"/>
      <c r="L60" s="31"/>
      <c r="M60" s="33">
        <f>'March 2022'!H58+'Dec 2022'!H56</f>
        <v>179873.57499999995</v>
      </c>
      <c r="Q60" s="114" t="s">
        <v>62</v>
      </c>
      <c r="R60" s="114"/>
      <c r="S60" s="114"/>
      <c r="T60" s="114"/>
      <c r="U60" s="114"/>
    </row>
    <row r="61" spans="1:23" s="17" customFormat="1" ht="45.75" customHeight="1">
      <c r="B61" s="114" t="s">
        <v>63</v>
      </c>
      <c r="C61" s="114"/>
      <c r="D61" s="114"/>
      <c r="E61" s="114"/>
      <c r="F61" s="114"/>
      <c r="G61" s="35"/>
      <c r="H61" s="36">
        <f>'[1]feb 2021'!H58+'Dec 2022'!H56</f>
        <v>177370.641</v>
      </c>
      <c r="I61" s="35"/>
      <c r="J61" s="28"/>
      <c r="K61" s="31"/>
      <c r="L61" s="31"/>
      <c r="M61" s="31"/>
      <c r="Q61" s="114" t="s">
        <v>63</v>
      </c>
      <c r="R61" s="114"/>
      <c r="S61" s="114"/>
      <c r="T61" s="114"/>
      <c r="U61" s="114"/>
    </row>
    <row r="62" spans="1:23" s="17" customFormat="1">
      <c r="B62" s="27"/>
      <c r="F62" s="37"/>
      <c r="I62" s="35"/>
      <c r="J62" s="37"/>
      <c r="Q62" s="105"/>
      <c r="R62" s="105"/>
      <c r="S62" s="2"/>
      <c r="T62" s="105"/>
      <c r="U62" s="105"/>
      <c r="V62" s="105"/>
      <c r="W62" s="105"/>
    </row>
    <row r="63" spans="1:23" s="17" customFormat="1" ht="61.5" customHeight="1">
      <c r="B63" s="27"/>
      <c r="G63" s="36">
        <f>'[1]May 2020'!H56+'Dec 2022'!H56</f>
        <v>175263.959</v>
      </c>
      <c r="J63" s="113" t="s">
        <v>64</v>
      </c>
      <c r="K63" s="113"/>
      <c r="L63" s="113"/>
      <c r="O63" s="105"/>
      <c r="S63" s="37"/>
      <c r="U63" s="105"/>
      <c r="V63" s="105"/>
      <c r="W63" s="105"/>
    </row>
    <row r="64" spans="1:23" s="17" customFormat="1" ht="58.5" customHeight="1">
      <c r="B64" s="27"/>
      <c r="H64" s="1"/>
      <c r="J64" s="113" t="s">
        <v>65</v>
      </c>
      <c r="K64" s="113"/>
      <c r="L64" s="113"/>
      <c r="O64" s="105"/>
      <c r="S64" s="37"/>
      <c r="U64" s="105"/>
      <c r="V64" s="105"/>
      <c r="W64" s="105"/>
    </row>
    <row r="66" spans="2:23">
      <c r="G66" s="31"/>
      <c r="H66" s="33" t="e">
        <f>#REF!+'Dec 2022'!H56</f>
        <v>#REF!</v>
      </c>
    </row>
    <row r="67" spans="2:23">
      <c r="H67" s="31"/>
      <c r="J67" s="31"/>
    </row>
    <row r="69" spans="2:23">
      <c r="B69" s="3"/>
      <c r="G69" s="38"/>
      <c r="O69" s="3"/>
      <c r="U69" s="3"/>
      <c r="V69" s="3"/>
      <c r="W69" s="3"/>
    </row>
  </sheetData>
  <mergeCells count="31">
    <mergeCell ref="J63:L63"/>
    <mergeCell ref="J64:L64"/>
    <mergeCell ref="D56:G56"/>
    <mergeCell ref="D57:G57"/>
    <mergeCell ref="D58:G58"/>
    <mergeCell ref="B60:F60"/>
    <mergeCell ref="Q60:U60"/>
    <mergeCell ref="B61:F61"/>
    <mergeCell ref="Q61:U61"/>
    <mergeCell ref="P5:Q5"/>
    <mergeCell ref="R5:S5"/>
    <mergeCell ref="T5:T6"/>
    <mergeCell ref="U5:U6"/>
    <mergeCell ref="V26:V27"/>
    <mergeCell ref="V45:V48"/>
    <mergeCell ref="H5:H6"/>
    <mergeCell ref="I5:I6"/>
    <mergeCell ref="J5:K5"/>
    <mergeCell ref="L5:M5"/>
    <mergeCell ref="N5:N6"/>
    <mergeCell ref="O5:O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A69"/>
  <sheetViews>
    <sheetView tabSelected="1" zoomScale="38" zoomScaleNormal="38" zoomScaleSheetLayoutView="25" workbookViewId="0">
      <selection activeCell="I19" sqref="I19"/>
    </sheetView>
  </sheetViews>
  <sheetFormatPr defaultRowHeight="33"/>
  <cols>
    <col min="1" max="1" width="16.7109375" style="3" customWidth="1"/>
    <col min="2" max="2" width="45.5703125" style="30" customWidth="1"/>
    <col min="3" max="3" width="36.5703125" style="3" customWidth="1"/>
    <col min="4" max="4" width="28.140625" style="3" customWidth="1"/>
    <col min="5" max="5" width="40.28515625" style="3" customWidth="1"/>
    <col min="6" max="6" width="32.42578125" style="3" customWidth="1"/>
    <col min="7" max="7" width="28.140625" style="3" customWidth="1"/>
    <col min="8" max="8" width="41.85546875" style="3" customWidth="1"/>
    <col min="9" max="9" width="29.5703125" style="3" customWidth="1"/>
    <col min="10" max="10" width="39.42578125" style="3" customWidth="1"/>
    <col min="11" max="11" width="28.140625" style="3" customWidth="1"/>
    <col min="12" max="12" width="36.7109375" style="3" customWidth="1"/>
    <col min="13" max="13" width="30.140625" style="3" customWidth="1"/>
    <col min="14" max="14" width="28.140625" style="3" customWidth="1"/>
    <col min="15" max="15" width="47.28515625" style="5" customWidth="1"/>
    <col min="16" max="16" width="32.7109375" style="3" customWidth="1"/>
    <col min="17" max="17" width="34.5703125" style="3" customWidth="1"/>
    <col min="18" max="18" width="36" style="3" customWidth="1"/>
    <col min="19" max="19" width="28.140625" style="6" customWidth="1"/>
    <col min="20" max="20" width="28.140625" style="3" customWidth="1"/>
    <col min="21" max="21" width="36.7109375" style="5" customWidth="1"/>
    <col min="22" max="22" width="41.42578125" style="5" customWidth="1"/>
    <col min="23" max="23" width="26" style="5" customWidth="1"/>
    <col min="24" max="16384" width="9.140625" style="3"/>
  </cols>
  <sheetData>
    <row r="1" spans="1:183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2"/>
      <c r="W1" s="2"/>
    </row>
    <row r="2" spans="1:183" ht="7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2"/>
      <c r="W2" s="2"/>
    </row>
    <row r="3" spans="1:183" ht="35.25" customHeight="1">
      <c r="A3" s="110" t="s">
        <v>84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2"/>
      <c r="W3" s="2"/>
    </row>
    <row r="4" spans="1:183" s="6" customFormat="1" ht="32.25" customHeight="1">
      <c r="A4" s="110" t="s">
        <v>1</v>
      </c>
      <c r="B4" s="110" t="s">
        <v>2</v>
      </c>
      <c r="C4" s="110" t="s">
        <v>3</v>
      </c>
      <c r="D4" s="110"/>
      <c r="E4" s="110"/>
      <c r="F4" s="110"/>
      <c r="G4" s="110"/>
      <c r="H4" s="110"/>
      <c r="I4" s="110" t="s">
        <v>4</v>
      </c>
      <c r="J4" s="111"/>
      <c r="K4" s="111"/>
      <c r="L4" s="111"/>
      <c r="M4" s="111"/>
      <c r="N4" s="111"/>
      <c r="O4" s="110" t="s">
        <v>5</v>
      </c>
      <c r="P4" s="111"/>
      <c r="Q4" s="111"/>
      <c r="R4" s="111"/>
      <c r="S4" s="111"/>
      <c r="T4" s="111"/>
      <c r="U4" s="4"/>
      <c r="V4" s="5"/>
      <c r="W4" s="5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</row>
    <row r="5" spans="1:183" s="6" customFormat="1" ht="41.25" customHeight="1">
      <c r="A5" s="110"/>
      <c r="B5" s="110"/>
      <c r="C5" s="110" t="s">
        <v>6</v>
      </c>
      <c r="D5" s="110" t="s">
        <v>7</v>
      </c>
      <c r="E5" s="110"/>
      <c r="F5" s="110" t="s">
        <v>8</v>
      </c>
      <c r="G5" s="110"/>
      <c r="H5" s="110" t="s">
        <v>9</v>
      </c>
      <c r="I5" s="110" t="s">
        <v>6</v>
      </c>
      <c r="J5" s="110" t="s">
        <v>7</v>
      </c>
      <c r="K5" s="110"/>
      <c r="L5" s="110" t="s">
        <v>8</v>
      </c>
      <c r="M5" s="110"/>
      <c r="N5" s="110" t="s">
        <v>9</v>
      </c>
      <c r="O5" s="110" t="s">
        <v>10</v>
      </c>
      <c r="P5" s="110" t="s">
        <v>7</v>
      </c>
      <c r="Q5" s="110"/>
      <c r="R5" s="110" t="s">
        <v>8</v>
      </c>
      <c r="S5" s="110"/>
      <c r="T5" s="110" t="s">
        <v>9</v>
      </c>
      <c r="U5" s="110" t="s">
        <v>11</v>
      </c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s="6" customFormat="1" ht="60" customHeight="1">
      <c r="A6" s="110"/>
      <c r="B6" s="110"/>
      <c r="C6" s="110"/>
      <c r="D6" s="107" t="s">
        <v>12</v>
      </c>
      <c r="E6" s="107" t="s">
        <v>13</v>
      </c>
      <c r="F6" s="107" t="s">
        <v>12</v>
      </c>
      <c r="G6" s="107" t="s">
        <v>13</v>
      </c>
      <c r="H6" s="110"/>
      <c r="I6" s="110"/>
      <c r="J6" s="7" t="s">
        <v>12</v>
      </c>
      <c r="K6" s="107" t="s">
        <v>13</v>
      </c>
      <c r="L6" s="107" t="s">
        <v>12</v>
      </c>
      <c r="M6" s="107" t="s">
        <v>13</v>
      </c>
      <c r="N6" s="110"/>
      <c r="O6" s="110"/>
      <c r="P6" s="107" t="s">
        <v>12</v>
      </c>
      <c r="Q6" s="107" t="s">
        <v>13</v>
      </c>
      <c r="R6" s="107" t="s">
        <v>12</v>
      </c>
      <c r="S6" s="107" t="s">
        <v>13</v>
      </c>
      <c r="T6" s="110"/>
      <c r="U6" s="110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</row>
    <row r="7" spans="1:183" ht="42.75" customHeight="1">
      <c r="A7" s="8">
        <v>1</v>
      </c>
      <c r="B7" s="9" t="s">
        <v>14</v>
      </c>
      <c r="C7" s="10">
        <f>'Dec 2022'!H7</f>
        <v>96.970000000000653</v>
      </c>
      <c r="D7" s="10">
        <v>0</v>
      </c>
      <c r="E7" s="10">
        <f>'Dec 2022'!E7+'Jan 2023'!D7</f>
        <v>47.73</v>
      </c>
      <c r="F7" s="10">
        <v>13</v>
      </c>
      <c r="G7" s="10">
        <f>'Dec 2022'!G7+'Jan 2023'!F7</f>
        <v>85.3</v>
      </c>
      <c r="H7" s="10">
        <f>C7+D7-F7</f>
        <v>83.970000000000653</v>
      </c>
      <c r="I7" s="10">
        <f>'Dec 2022'!N7</f>
        <v>173.44599999999994</v>
      </c>
      <c r="J7" s="10">
        <v>1.125</v>
      </c>
      <c r="K7" s="10">
        <f>'Dec 2022'!K7+'Jan 2023'!J7</f>
        <v>43.806000000000004</v>
      </c>
      <c r="L7" s="10">
        <v>0</v>
      </c>
      <c r="M7" s="10">
        <f>'Dec 2022'!M7+'Jan 2023'!L7</f>
        <v>0.04</v>
      </c>
      <c r="N7" s="10">
        <f>I7+J7-L7</f>
        <v>174.57099999999994</v>
      </c>
      <c r="O7" s="11">
        <f>'Dec 2022'!T7</f>
        <v>284.1400000000001</v>
      </c>
      <c r="P7" s="10">
        <v>0</v>
      </c>
      <c r="Q7" s="10">
        <f>'Dec 2022'!Q7+'Jan 2023'!P7</f>
        <v>0.46</v>
      </c>
      <c r="R7" s="10">
        <v>0</v>
      </c>
      <c r="S7" s="10">
        <f>'Dec 2022'!S7+'Jan 2023'!R7</f>
        <v>0</v>
      </c>
      <c r="T7" s="11">
        <f>O7+P7-R7</f>
        <v>284.1400000000001</v>
      </c>
      <c r="U7" s="11">
        <f>H7+N7+T7</f>
        <v>542.68100000000072</v>
      </c>
      <c r="V7" s="12"/>
      <c r="W7" s="12"/>
    </row>
    <row r="8" spans="1:183" ht="42.75" customHeight="1">
      <c r="A8" s="8">
        <v>2</v>
      </c>
      <c r="B8" s="9" t="s">
        <v>15</v>
      </c>
      <c r="C8" s="10">
        <f>'Dec 2022'!H8</f>
        <v>497.58499999999987</v>
      </c>
      <c r="D8" s="10">
        <v>0.03</v>
      </c>
      <c r="E8" s="10">
        <f>'Dec 2022'!E8+'Jan 2023'!D8</f>
        <v>0.48000000000000009</v>
      </c>
      <c r="F8" s="10">
        <v>0</v>
      </c>
      <c r="G8" s="10">
        <f>'Dec 2022'!G8+'Jan 2023'!F8</f>
        <v>0.33999999999999997</v>
      </c>
      <c r="H8" s="10">
        <f t="shared" ref="H8:H53" si="0">C8+D8-F8</f>
        <v>497.61499999999984</v>
      </c>
      <c r="I8" s="10">
        <f>'Dec 2022'!N8</f>
        <v>138.55199999999999</v>
      </c>
      <c r="J8" s="10">
        <v>1.764</v>
      </c>
      <c r="K8" s="10">
        <f>'Dec 2022'!K8+'Jan 2023'!J8</f>
        <v>20.286000000000001</v>
      </c>
      <c r="L8" s="10">
        <v>0</v>
      </c>
      <c r="M8" s="10">
        <f>'Dec 2022'!M8+'Jan 2023'!L8</f>
        <v>0</v>
      </c>
      <c r="N8" s="10">
        <f t="shared" ref="N8:N48" si="1">I8+J8-L8</f>
        <v>140.316</v>
      </c>
      <c r="O8" s="11">
        <f>'Dec 2022'!T8</f>
        <v>222.27000000000004</v>
      </c>
      <c r="P8" s="10">
        <v>0</v>
      </c>
      <c r="Q8" s="10">
        <f>'Dec 2022'!Q8+'Jan 2023'!P8</f>
        <v>34.629999999999995</v>
      </c>
      <c r="R8" s="10">
        <v>0</v>
      </c>
      <c r="S8" s="10">
        <f>'Dec 2022'!S8+'Jan 2023'!R8</f>
        <v>0</v>
      </c>
      <c r="T8" s="11">
        <f t="shared" ref="T8:T48" si="2">O8+P8-R8</f>
        <v>222.27000000000004</v>
      </c>
      <c r="U8" s="11">
        <f t="shared" ref="U8:U48" si="3">H8+N8+T8</f>
        <v>860.20099999999979</v>
      </c>
      <c r="V8" s="12"/>
      <c r="W8" s="12"/>
    </row>
    <row r="9" spans="1:183" ht="42.75" customHeight="1">
      <c r="A9" s="8">
        <v>3</v>
      </c>
      <c r="B9" s="9" t="s">
        <v>16</v>
      </c>
      <c r="C9" s="10">
        <f>'Dec 2022'!H9</f>
        <v>653.9599999999997</v>
      </c>
      <c r="D9" s="10">
        <v>0</v>
      </c>
      <c r="E9" s="10">
        <f>'Dec 2022'!E9+'Jan 2023'!D9</f>
        <v>0</v>
      </c>
      <c r="F9" s="10">
        <v>0</v>
      </c>
      <c r="G9" s="10">
        <f>'Dec 2022'!G9+'Jan 2023'!F9</f>
        <v>90</v>
      </c>
      <c r="H9" s="10">
        <f t="shared" si="0"/>
        <v>653.9599999999997</v>
      </c>
      <c r="I9" s="10">
        <f>'Dec 2022'!N9</f>
        <v>209.15500000000003</v>
      </c>
      <c r="J9" s="10">
        <v>2.95</v>
      </c>
      <c r="K9" s="10">
        <f>'Dec 2022'!K9+'Jan 2023'!J9</f>
        <v>14.771999999999998</v>
      </c>
      <c r="L9" s="10">
        <v>0</v>
      </c>
      <c r="M9" s="10">
        <f>'Dec 2022'!M9+'Jan 2023'!L9</f>
        <v>0</v>
      </c>
      <c r="N9" s="10">
        <f t="shared" si="1"/>
        <v>212.10500000000002</v>
      </c>
      <c r="O9" s="11">
        <f>'Dec 2022'!T9</f>
        <v>811.34</v>
      </c>
      <c r="P9" s="10">
        <v>0</v>
      </c>
      <c r="Q9" s="10">
        <f>'Dec 2022'!Q9+'Jan 2023'!P9</f>
        <v>125.15</v>
      </c>
      <c r="R9" s="10">
        <v>0</v>
      </c>
      <c r="S9" s="10">
        <f>'Dec 2022'!S9+'Jan 2023'!R9</f>
        <v>0</v>
      </c>
      <c r="T9" s="11">
        <f t="shared" si="2"/>
        <v>811.34</v>
      </c>
      <c r="U9" s="11">
        <f t="shared" si="3"/>
        <v>1677.4049999999997</v>
      </c>
      <c r="V9" s="12"/>
      <c r="W9" s="12"/>
    </row>
    <row r="10" spans="1:183" ht="42.75" customHeight="1">
      <c r="A10" s="8">
        <v>4</v>
      </c>
      <c r="B10" s="13" t="s">
        <v>17</v>
      </c>
      <c r="C10" s="10">
        <f>'Dec 2022'!H10</f>
        <v>0</v>
      </c>
      <c r="D10" s="10">
        <v>0</v>
      </c>
      <c r="E10" s="10">
        <f>'Dec 2022'!E10+'Jan 2023'!D10</f>
        <v>0</v>
      </c>
      <c r="F10" s="10">
        <v>0</v>
      </c>
      <c r="G10" s="10">
        <f>'Dec 2022'!G10+'Jan 2023'!F10</f>
        <v>0</v>
      </c>
      <c r="H10" s="10">
        <f t="shared" si="0"/>
        <v>0</v>
      </c>
      <c r="I10" s="10">
        <f>'Dec 2022'!N10</f>
        <v>144.11000000000007</v>
      </c>
      <c r="J10" s="10">
        <v>0.48499999999999999</v>
      </c>
      <c r="K10" s="10">
        <f>'Dec 2022'!K10+'Jan 2023'!J10</f>
        <v>2.5609999999999999</v>
      </c>
      <c r="L10" s="10">
        <v>0</v>
      </c>
      <c r="M10" s="10">
        <f>'Dec 2022'!M10+'Jan 2023'!L10</f>
        <v>0</v>
      </c>
      <c r="N10" s="10">
        <f t="shared" si="1"/>
        <v>144.59500000000008</v>
      </c>
      <c r="O10" s="11">
        <f>'Dec 2022'!T10</f>
        <v>234.27999999999997</v>
      </c>
      <c r="P10" s="10">
        <v>0</v>
      </c>
      <c r="Q10" s="10">
        <f>'Dec 2022'!Q10+'Jan 2023'!P10</f>
        <v>1.1100000000000001</v>
      </c>
      <c r="R10" s="10">
        <v>0</v>
      </c>
      <c r="S10" s="10">
        <f>'Dec 2022'!S10+'Jan 2023'!R10</f>
        <v>0</v>
      </c>
      <c r="T10" s="11">
        <f t="shared" si="2"/>
        <v>234.27999999999997</v>
      </c>
      <c r="U10" s="11">
        <f t="shared" si="3"/>
        <v>378.87500000000006</v>
      </c>
      <c r="V10" s="12"/>
      <c r="W10" s="12"/>
    </row>
    <row r="11" spans="1:183" s="17" customFormat="1" ht="42.75" customHeight="1">
      <c r="A11" s="14"/>
      <c r="B11" s="15" t="s">
        <v>18</v>
      </c>
      <c r="C11" s="16">
        <f>SUM(C7:C10)</f>
        <v>1248.5150000000003</v>
      </c>
      <c r="D11" s="16">
        <f t="shared" ref="D11:U11" si="4">SUM(D7:D10)</f>
        <v>0.03</v>
      </c>
      <c r="E11" s="16">
        <f t="shared" si="4"/>
        <v>48.209999999999994</v>
      </c>
      <c r="F11" s="16">
        <f t="shared" si="4"/>
        <v>13</v>
      </c>
      <c r="G11" s="16">
        <f t="shared" si="4"/>
        <v>175.64</v>
      </c>
      <c r="H11" s="16">
        <f t="shared" si="4"/>
        <v>1235.5450000000001</v>
      </c>
      <c r="I11" s="16">
        <f t="shared" si="4"/>
        <v>665.26300000000015</v>
      </c>
      <c r="J11" s="16">
        <f t="shared" si="4"/>
        <v>6.3240000000000007</v>
      </c>
      <c r="K11" s="16">
        <f t="shared" si="4"/>
        <v>81.425000000000011</v>
      </c>
      <c r="L11" s="16">
        <f t="shared" si="4"/>
        <v>0</v>
      </c>
      <c r="M11" s="16">
        <f t="shared" si="4"/>
        <v>0.04</v>
      </c>
      <c r="N11" s="16">
        <f t="shared" si="4"/>
        <v>671.58699999999999</v>
      </c>
      <c r="O11" s="16">
        <f t="shared" si="4"/>
        <v>1552.0300000000002</v>
      </c>
      <c r="P11" s="16">
        <f t="shared" si="4"/>
        <v>0</v>
      </c>
      <c r="Q11" s="16">
        <f t="shared" si="4"/>
        <v>161.35000000000002</v>
      </c>
      <c r="R11" s="16">
        <f t="shared" si="4"/>
        <v>0</v>
      </c>
      <c r="S11" s="16">
        <f t="shared" si="4"/>
        <v>0</v>
      </c>
      <c r="T11" s="16">
        <f t="shared" si="4"/>
        <v>1552.0300000000002</v>
      </c>
      <c r="U11" s="16">
        <f t="shared" si="4"/>
        <v>3459.1620000000003</v>
      </c>
      <c r="V11" s="108"/>
      <c r="W11" s="108"/>
    </row>
    <row r="12" spans="1:183" ht="42.75" customHeight="1">
      <c r="A12" s="8">
        <v>5</v>
      </c>
      <c r="B12" s="9" t="s">
        <v>19</v>
      </c>
      <c r="C12" s="10">
        <f>'Dec 2022'!H12</f>
        <v>1042.9599999999989</v>
      </c>
      <c r="D12" s="10">
        <v>0</v>
      </c>
      <c r="E12" s="10">
        <f>'Dec 2022'!E12+'Jan 2023'!D12</f>
        <v>0</v>
      </c>
      <c r="F12" s="10">
        <v>0</v>
      </c>
      <c r="G12" s="10">
        <f>'Dec 2022'!G12+'Jan 2023'!F12</f>
        <v>610.53</v>
      </c>
      <c r="H12" s="10">
        <f t="shared" si="0"/>
        <v>1042.9599999999989</v>
      </c>
      <c r="I12" s="10">
        <f>'Dec 2022'!N12</f>
        <v>126.32300000000001</v>
      </c>
      <c r="J12" s="10">
        <v>0.43</v>
      </c>
      <c r="K12" s="10">
        <f>'Dec 2022'!K12+'Jan 2023'!J12</f>
        <v>5.52</v>
      </c>
      <c r="L12" s="10">
        <v>0</v>
      </c>
      <c r="M12" s="10">
        <f>'Dec 2022'!M12+'Jan 2023'!L12</f>
        <v>0.4</v>
      </c>
      <c r="N12" s="10">
        <f t="shared" si="1"/>
        <v>126.75300000000001</v>
      </c>
      <c r="O12" s="11">
        <f>'Dec 2022'!T12</f>
        <v>787.78</v>
      </c>
      <c r="P12" s="10">
        <v>0.06</v>
      </c>
      <c r="Q12" s="10">
        <f>'Dec 2022'!Q12+'Jan 2023'!P12</f>
        <v>208.93</v>
      </c>
      <c r="R12" s="10">
        <v>0</v>
      </c>
      <c r="S12" s="10">
        <f>'Dec 2022'!S12+'Jan 2023'!R12</f>
        <v>0</v>
      </c>
      <c r="T12" s="11">
        <f t="shared" si="2"/>
        <v>787.83999999999992</v>
      </c>
      <c r="U12" s="11">
        <f t="shared" si="3"/>
        <v>1957.5529999999987</v>
      </c>
      <c r="V12" s="12"/>
      <c r="W12" s="12"/>
    </row>
    <row r="13" spans="1:183" ht="42.75" customHeight="1">
      <c r="A13" s="8">
        <v>6</v>
      </c>
      <c r="B13" s="9" t="s">
        <v>20</v>
      </c>
      <c r="C13" s="10">
        <f>'Dec 2022'!H13</f>
        <v>1023.7699999999998</v>
      </c>
      <c r="D13" s="10">
        <v>0</v>
      </c>
      <c r="E13" s="10">
        <f>'Dec 2022'!E13+'Jan 2023'!D13</f>
        <v>0</v>
      </c>
      <c r="F13" s="10">
        <v>0</v>
      </c>
      <c r="G13" s="10">
        <f>'Dec 2022'!G13+'Jan 2023'!F13</f>
        <v>0</v>
      </c>
      <c r="H13" s="10">
        <f t="shared" si="0"/>
        <v>1023.7699999999998</v>
      </c>
      <c r="I13" s="10">
        <f>'Dec 2022'!N13</f>
        <v>154.83400000000009</v>
      </c>
      <c r="J13" s="10">
        <v>1.45</v>
      </c>
      <c r="K13" s="10">
        <f>'Dec 2022'!K13+'Jan 2023'!J13</f>
        <v>8.69</v>
      </c>
      <c r="L13" s="10">
        <v>0</v>
      </c>
      <c r="M13" s="10">
        <f>'Dec 2022'!M13+'Jan 2023'!L13</f>
        <v>0.72</v>
      </c>
      <c r="N13" s="10">
        <f t="shared" si="1"/>
        <v>156.28400000000008</v>
      </c>
      <c r="O13" s="11">
        <f>'Dec 2022'!T13</f>
        <v>87.2</v>
      </c>
      <c r="P13" s="10">
        <v>0</v>
      </c>
      <c r="Q13" s="10">
        <f>'Dec 2022'!Q13+'Jan 2023'!P13</f>
        <v>0.67</v>
      </c>
      <c r="R13" s="10">
        <v>0</v>
      </c>
      <c r="S13" s="10">
        <f>'Dec 2022'!S13+'Jan 2023'!R13</f>
        <v>0</v>
      </c>
      <c r="T13" s="11">
        <f t="shared" si="2"/>
        <v>87.2</v>
      </c>
      <c r="U13" s="11">
        <f t="shared" si="3"/>
        <v>1267.2539999999999</v>
      </c>
      <c r="V13" s="12"/>
      <c r="W13" s="12"/>
    </row>
    <row r="14" spans="1:183" ht="42.75" customHeight="1">
      <c r="A14" s="8">
        <v>7</v>
      </c>
      <c r="B14" s="9" t="s">
        <v>21</v>
      </c>
      <c r="C14" s="10">
        <f>'Dec 2022'!H14</f>
        <v>2084.5799999999995</v>
      </c>
      <c r="D14" s="10">
        <v>0</v>
      </c>
      <c r="E14" s="10">
        <f>'Dec 2022'!E14+'Jan 2023'!D14</f>
        <v>0.08</v>
      </c>
      <c r="F14" s="10">
        <v>0</v>
      </c>
      <c r="G14" s="10">
        <f>'Dec 2022'!G14+'Jan 2023'!F14</f>
        <v>0</v>
      </c>
      <c r="H14" s="10">
        <f t="shared" si="0"/>
        <v>2084.5799999999995</v>
      </c>
      <c r="I14" s="10">
        <f>'Dec 2022'!N14</f>
        <v>205.86399999999998</v>
      </c>
      <c r="J14" s="10">
        <v>1.35</v>
      </c>
      <c r="K14" s="10">
        <f>'Dec 2022'!K14+'Jan 2023'!J14</f>
        <v>13.360000000000001</v>
      </c>
      <c r="L14" s="10">
        <v>0</v>
      </c>
      <c r="M14" s="10">
        <f>'Dec 2022'!M14+'Jan 2023'!L14</f>
        <v>0</v>
      </c>
      <c r="N14" s="10">
        <f t="shared" si="1"/>
        <v>207.21399999999997</v>
      </c>
      <c r="O14" s="11">
        <f>'Dec 2022'!T14</f>
        <v>403.37999999999994</v>
      </c>
      <c r="P14" s="10">
        <v>0.1</v>
      </c>
      <c r="Q14" s="10">
        <f>'Dec 2022'!Q14+'Jan 2023'!P14</f>
        <v>51.32</v>
      </c>
      <c r="R14" s="10">
        <v>0</v>
      </c>
      <c r="S14" s="10">
        <f>'Dec 2022'!S14+'Jan 2023'!R14</f>
        <v>0</v>
      </c>
      <c r="T14" s="11">
        <f t="shared" si="2"/>
        <v>403.47999999999996</v>
      </c>
      <c r="U14" s="11">
        <f t="shared" si="3"/>
        <v>2695.2739999999994</v>
      </c>
      <c r="V14" s="12"/>
      <c r="W14" s="12"/>
    </row>
    <row r="15" spans="1:183" s="17" customFormat="1" ht="42.75" customHeight="1">
      <c r="A15" s="14" t="s">
        <v>22</v>
      </c>
      <c r="B15" s="15" t="s">
        <v>23</v>
      </c>
      <c r="C15" s="16">
        <f>SUM(C12:C14)</f>
        <v>4151.3099999999977</v>
      </c>
      <c r="D15" s="16">
        <f t="shared" ref="D15:U15" si="5">SUM(D12:D14)</f>
        <v>0</v>
      </c>
      <c r="E15" s="16">
        <f t="shared" si="5"/>
        <v>0.08</v>
      </c>
      <c r="F15" s="16">
        <f t="shared" si="5"/>
        <v>0</v>
      </c>
      <c r="G15" s="16">
        <f t="shared" si="5"/>
        <v>610.53</v>
      </c>
      <c r="H15" s="16">
        <f t="shared" si="5"/>
        <v>4151.3099999999977</v>
      </c>
      <c r="I15" s="16">
        <f t="shared" si="5"/>
        <v>487.02100000000007</v>
      </c>
      <c r="J15" s="16">
        <f t="shared" si="5"/>
        <v>3.23</v>
      </c>
      <c r="K15" s="16">
        <f t="shared" si="5"/>
        <v>27.57</v>
      </c>
      <c r="L15" s="16">
        <f t="shared" si="5"/>
        <v>0</v>
      </c>
      <c r="M15" s="16">
        <f t="shared" si="5"/>
        <v>1.1200000000000001</v>
      </c>
      <c r="N15" s="16">
        <f t="shared" si="5"/>
        <v>490.25100000000009</v>
      </c>
      <c r="O15" s="16">
        <f t="shared" si="5"/>
        <v>1278.3599999999999</v>
      </c>
      <c r="P15" s="16">
        <f t="shared" si="5"/>
        <v>0.16</v>
      </c>
      <c r="Q15" s="16">
        <f t="shared" si="5"/>
        <v>260.92</v>
      </c>
      <c r="R15" s="16">
        <f t="shared" si="5"/>
        <v>0</v>
      </c>
      <c r="S15" s="16">
        <f t="shared" si="5"/>
        <v>0</v>
      </c>
      <c r="T15" s="16">
        <f t="shared" si="5"/>
        <v>1278.52</v>
      </c>
      <c r="U15" s="16">
        <f t="shared" si="5"/>
        <v>5920.0809999999983</v>
      </c>
      <c r="V15" s="108"/>
      <c r="W15" s="108"/>
    </row>
    <row r="16" spans="1:183" ht="42.75" customHeight="1">
      <c r="A16" s="8">
        <v>8</v>
      </c>
      <c r="B16" s="9" t="s">
        <v>24</v>
      </c>
      <c r="C16" s="10">
        <f>'Dec 2022'!H16</f>
        <v>1305.0819999999992</v>
      </c>
      <c r="D16" s="10">
        <v>0.61</v>
      </c>
      <c r="E16" s="10">
        <f>'Dec 2022'!E16+'Jan 2023'!D16</f>
        <v>20.249999999999996</v>
      </c>
      <c r="F16" s="10">
        <v>0</v>
      </c>
      <c r="G16" s="10">
        <f>'Dec 2022'!G16+'Jan 2023'!F16</f>
        <v>19.73</v>
      </c>
      <c r="H16" s="10">
        <f t="shared" si="0"/>
        <v>1305.6919999999991</v>
      </c>
      <c r="I16" s="10">
        <f>'Dec 2022'!N16</f>
        <v>113.69000000000004</v>
      </c>
      <c r="J16" s="10">
        <v>0.03</v>
      </c>
      <c r="K16" s="10">
        <f>'Dec 2022'!K16+'Jan 2023'!J16</f>
        <v>2.7</v>
      </c>
      <c r="L16" s="10">
        <v>0</v>
      </c>
      <c r="M16" s="10">
        <f>'Dec 2022'!M16+'Jan 2023'!L16</f>
        <v>0</v>
      </c>
      <c r="N16" s="10">
        <f t="shared" si="1"/>
        <v>113.72000000000004</v>
      </c>
      <c r="O16" s="11">
        <f>'Dec 2022'!T16</f>
        <v>754.99900000000002</v>
      </c>
      <c r="P16" s="10">
        <f>1.25+66.93+66.93</f>
        <v>135.11000000000001</v>
      </c>
      <c r="Q16" s="10">
        <f>'Dec 2022'!Q16+'Jan 2023'!P16</f>
        <v>694.7</v>
      </c>
      <c r="R16" s="10">
        <v>0</v>
      </c>
      <c r="S16" s="10">
        <f>'Dec 2022'!S16+'Jan 2023'!R16</f>
        <v>0</v>
      </c>
      <c r="T16" s="11">
        <f t="shared" si="2"/>
        <v>890.10900000000004</v>
      </c>
      <c r="U16" s="11">
        <f t="shared" si="3"/>
        <v>2309.5209999999993</v>
      </c>
      <c r="V16" s="12"/>
      <c r="W16" s="12"/>
    </row>
    <row r="17" spans="1:23" ht="57.75" customHeight="1">
      <c r="A17" s="8">
        <v>9</v>
      </c>
      <c r="B17" s="9" t="s">
        <v>25</v>
      </c>
      <c r="C17" s="10">
        <f>'Dec 2022'!H17</f>
        <v>239.35399999999987</v>
      </c>
      <c r="D17" s="10">
        <v>0</v>
      </c>
      <c r="E17" s="10">
        <f>'Dec 2022'!E17+'Jan 2023'!D17</f>
        <v>39.92</v>
      </c>
      <c r="F17" s="10">
        <v>0</v>
      </c>
      <c r="G17" s="10">
        <f>'Dec 2022'!G17+'Jan 2023'!F17</f>
        <v>0</v>
      </c>
      <c r="H17" s="10">
        <f t="shared" si="0"/>
        <v>239.35399999999987</v>
      </c>
      <c r="I17" s="10">
        <f>'Dec 2022'!N17</f>
        <v>28.656999999999993</v>
      </c>
      <c r="J17" s="10">
        <v>0.7</v>
      </c>
      <c r="K17" s="10">
        <f>'Dec 2022'!K17+'Jan 2023'!J17</f>
        <v>8.27</v>
      </c>
      <c r="L17" s="10">
        <v>0</v>
      </c>
      <c r="M17" s="10">
        <f>'Dec 2022'!M17+'Jan 2023'!L17</f>
        <v>0.99</v>
      </c>
      <c r="N17" s="10">
        <f t="shared" si="1"/>
        <v>29.356999999999992</v>
      </c>
      <c r="O17" s="11">
        <f>'Dec 2022'!T17</f>
        <v>491.52100000000007</v>
      </c>
      <c r="P17" s="10">
        <v>6.42</v>
      </c>
      <c r="Q17" s="10">
        <f>'Dec 2022'!Q17+'Jan 2023'!P17</f>
        <v>77.23</v>
      </c>
      <c r="R17" s="10">
        <v>0</v>
      </c>
      <c r="S17" s="10">
        <f>'Dec 2022'!S17+'Jan 2023'!R17</f>
        <v>70.959999999999994</v>
      </c>
      <c r="T17" s="11">
        <f t="shared" si="2"/>
        <v>497.94100000000009</v>
      </c>
      <c r="U17" s="11">
        <f t="shared" si="3"/>
        <v>766.65199999999993</v>
      </c>
      <c r="V17" s="12"/>
      <c r="W17" s="12"/>
    </row>
    <row r="18" spans="1:23" ht="42.75" customHeight="1">
      <c r="A18" s="8">
        <v>10</v>
      </c>
      <c r="B18" s="9" t="s">
        <v>26</v>
      </c>
      <c r="C18" s="10">
        <f>'Dec 2022'!H18</f>
        <v>669.86499999999933</v>
      </c>
      <c r="D18" s="10">
        <v>0</v>
      </c>
      <c r="E18" s="10">
        <f>'Dec 2022'!E18+'Jan 2023'!D18</f>
        <v>0</v>
      </c>
      <c r="F18" s="10">
        <v>191.73</v>
      </c>
      <c r="G18" s="10">
        <f>'Dec 2022'!G18+'Jan 2023'!F18</f>
        <v>191.73</v>
      </c>
      <c r="H18" s="10">
        <f t="shared" si="0"/>
        <v>478.13499999999931</v>
      </c>
      <c r="I18" s="10">
        <f>'Dec 2022'!N18</f>
        <v>17.879999999999988</v>
      </c>
      <c r="J18" s="10">
        <v>0.03</v>
      </c>
      <c r="K18" s="10">
        <f>'Dec 2022'!K18+'Jan 2023'!J18</f>
        <v>1.8399999999999999</v>
      </c>
      <c r="L18" s="10">
        <v>2.77</v>
      </c>
      <c r="M18" s="10">
        <f>'Dec 2022'!M18+'Jan 2023'!L18</f>
        <v>3.07</v>
      </c>
      <c r="N18" s="10">
        <f t="shared" si="1"/>
        <v>15.13999999999999</v>
      </c>
      <c r="O18" s="11">
        <f>'Dec 2022'!T18</f>
        <v>239.95799999999997</v>
      </c>
      <c r="P18" s="10">
        <v>240.88</v>
      </c>
      <c r="Q18" s="10">
        <f>'Dec 2022'!Q18+'Jan 2023'!P18</f>
        <v>285.99</v>
      </c>
      <c r="R18" s="10">
        <v>0</v>
      </c>
      <c r="S18" s="10">
        <f>'Dec 2022'!S18+'Jan 2023'!R18</f>
        <v>0.05</v>
      </c>
      <c r="T18" s="11">
        <f t="shared" si="2"/>
        <v>480.83799999999997</v>
      </c>
      <c r="U18" s="11">
        <f t="shared" si="3"/>
        <v>974.11299999999926</v>
      </c>
      <c r="V18" s="12"/>
      <c r="W18" s="12"/>
    </row>
    <row r="19" spans="1:23" s="17" customFormat="1" ht="42.75" customHeight="1">
      <c r="A19" s="14"/>
      <c r="B19" s="15" t="s">
        <v>27</v>
      </c>
      <c r="C19" s="16">
        <f>SUM(C16:C18)</f>
        <v>2214.3009999999986</v>
      </c>
      <c r="D19" s="16">
        <f t="shared" ref="D19:U19" si="6">SUM(D16:D18)</f>
        <v>0.61</v>
      </c>
      <c r="E19" s="16">
        <f t="shared" si="6"/>
        <v>60.17</v>
      </c>
      <c r="F19" s="16">
        <f t="shared" si="6"/>
        <v>191.73</v>
      </c>
      <c r="G19" s="16">
        <f t="shared" si="6"/>
        <v>211.45999999999998</v>
      </c>
      <c r="H19" s="16">
        <f t="shared" si="6"/>
        <v>2023.1809999999982</v>
      </c>
      <c r="I19" s="16">
        <f t="shared" si="6"/>
        <v>160.22700000000003</v>
      </c>
      <c r="J19" s="16">
        <f t="shared" si="6"/>
        <v>0.76</v>
      </c>
      <c r="K19" s="16">
        <f t="shared" si="6"/>
        <v>12.809999999999999</v>
      </c>
      <c r="L19" s="16">
        <f t="shared" si="6"/>
        <v>2.77</v>
      </c>
      <c r="M19" s="16">
        <f t="shared" si="6"/>
        <v>4.0599999999999996</v>
      </c>
      <c r="N19" s="16">
        <f t="shared" si="6"/>
        <v>158.21700000000001</v>
      </c>
      <c r="O19" s="16">
        <f t="shared" si="6"/>
        <v>1486.4780000000001</v>
      </c>
      <c r="P19" s="16">
        <f t="shared" si="6"/>
        <v>382.40999999999997</v>
      </c>
      <c r="Q19" s="16">
        <f t="shared" si="6"/>
        <v>1057.92</v>
      </c>
      <c r="R19" s="16">
        <f t="shared" si="6"/>
        <v>0</v>
      </c>
      <c r="S19" s="16">
        <f t="shared" si="6"/>
        <v>71.009999999999991</v>
      </c>
      <c r="T19" s="16">
        <f t="shared" si="6"/>
        <v>1868.8880000000001</v>
      </c>
      <c r="U19" s="16">
        <f t="shared" si="6"/>
        <v>4050.2859999999987</v>
      </c>
      <c r="V19" s="108"/>
      <c r="W19" s="108"/>
    </row>
    <row r="20" spans="1:23" ht="42.75" customHeight="1">
      <c r="A20" s="8">
        <v>11</v>
      </c>
      <c r="B20" s="9" t="s">
        <v>28</v>
      </c>
      <c r="C20" s="10">
        <f>'Dec 2022'!H20</f>
        <v>1024.4249999999993</v>
      </c>
      <c r="D20" s="10">
        <v>0</v>
      </c>
      <c r="E20" s="10">
        <f>'Dec 2022'!E20+'Jan 2023'!D20</f>
        <v>0.88</v>
      </c>
      <c r="F20" s="10">
        <v>0</v>
      </c>
      <c r="G20" s="10">
        <f>'Dec 2022'!G20+'Jan 2023'!F20</f>
        <v>180</v>
      </c>
      <c r="H20" s="10">
        <f t="shared" si="0"/>
        <v>1024.4249999999993</v>
      </c>
      <c r="I20" s="10">
        <f>'Dec 2022'!N20</f>
        <v>154.9610000000001</v>
      </c>
      <c r="J20" s="10">
        <v>7.0000000000000007E-2</v>
      </c>
      <c r="K20" s="10">
        <f>'Dec 2022'!K20+'Jan 2023'!J20</f>
        <v>2.73</v>
      </c>
      <c r="L20" s="10">
        <v>0</v>
      </c>
      <c r="M20" s="10">
        <f>'Dec 2022'!M20+'Jan 2023'!L20</f>
        <v>0</v>
      </c>
      <c r="N20" s="10">
        <f t="shared" si="1"/>
        <v>155.03100000000009</v>
      </c>
      <c r="O20" s="11">
        <f>'Dec 2022'!T20</f>
        <v>741.66099999999983</v>
      </c>
      <c r="P20" s="10">
        <v>0.53</v>
      </c>
      <c r="Q20" s="10">
        <f>'Dec 2022'!Q20+'Jan 2023'!P20</f>
        <v>400.26</v>
      </c>
      <c r="R20" s="10">
        <v>0</v>
      </c>
      <c r="S20" s="10">
        <f>'Dec 2022'!S20+'Jan 2023'!R20</f>
        <v>0</v>
      </c>
      <c r="T20" s="11">
        <f t="shared" si="2"/>
        <v>742.1909999999998</v>
      </c>
      <c r="U20" s="11">
        <f t="shared" si="3"/>
        <v>1921.6469999999993</v>
      </c>
      <c r="V20" s="12"/>
      <c r="W20" s="12"/>
    </row>
    <row r="21" spans="1:23" ht="42.75" customHeight="1">
      <c r="A21" s="8">
        <v>12</v>
      </c>
      <c r="B21" s="9" t="s">
        <v>29</v>
      </c>
      <c r="C21" s="10">
        <f>'Dec 2022'!H21</f>
        <v>142.68999999999988</v>
      </c>
      <c r="D21" s="10">
        <v>0</v>
      </c>
      <c r="E21" s="10">
        <f>'Dec 2022'!E21+'Jan 2023'!D21</f>
        <v>0</v>
      </c>
      <c r="F21" s="10">
        <v>0</v>
      </c>
      <c r="G21" s="10">
        <f>'Dec 2022'!G21+'Jan 2023'!F21</f>
        <v>0</v>
      </c>
      <c r="H21" s="10">
        <f t="shared" si="0"/>
        <v>142.68999999999988</v>
      </c>
      <c r="I21" s="10">
        <f>'Dec 2022'!N21</f>
        <v>52.033000000000015</v>
      </c>
      <c r="J21" s="10">
        <v>0.25</v>
      </c>
      <c r="K21" s="10">
        <f>'Dec 2022'!K21+'Jan 2023'!J21</f>
        <v>2.12</v>
      </c>
      <c r="L21" s="10">
        <v>0</v>
      </c>
      <c r="M21" s="10">
        <f>'Dec 2022'!M21+'Jan 2023'!L21</f>
        <v>0</v>
      </c>
      <c r="N21" s="10">
        <f t="shared" si="1"/>
        <v>52.283000000000015</v>
      </c>
      <c r="O21" s="11">
        <f>'Dec 2022'!T21</f>
        <v>310.79999999999995</v>
      </c>
      <c r="P21" s="10">
        <v>0</v>
      </c>
      <c r="Q21" s="10">
        <f>'Dec 2022'!Q21+'Jan 2023'!P21</f>
        <v>44.3</v>
      </c>
      <c r="R21" s="10">
        <v>0</v>
      </c>
      <c r="S21" s="10">
        <f>'Dec 2022'!S21+'Jan 2023'!R21</f>
        <v>0</v>
      </c>
      <c r="T21" s="11">
        <f t="shared" si="2"/>
        <v>310.79999999999995</v>
      </c>
      <c r="U21" s="11">
        <f t="shared" si="3"/>
        <v>505.77299999999985</v>
      </c>
      <c r="V21" s="12"/>
      <c r="W21" s="12"/>
    </row>
    <row r="22" spans="1:23" ht="42.75" customHeight="1">
      <c r="A22" s="8">
        <v>13</v>
      </c>
      <c r="B22" s="9" t="s">
        <v>30</v>
      </c>
      <c r="C22" s="10">
        <f>'Dec 2022'!H22</f>
        <v>27.069999999999879</v>
      </c>
      <c r="D22" s="10">
        <v>0</v>
      </c>
      <c r="E22" s="10">
        <f>'Dec 2022'!E22+'Jan 2023'!D22</f>
        <v>0</v>
      </c>
      <c r="F22" s="10">
        <v>0</v>
      </c>
      <c r="G22" s="10">
        <f>'Dec 2022'!G22+'Jan 2023'!F22</f>
        <v>0</v>
      </c>
      <c r="H22" s="10">
        <f t="shared" si="0"/>
        <v>27.069999999999879</v>
      </c>
      <c r="I22" s="10">
        <f>'Dec 2022'!N22</f>
        <v>15.850000000000005</v>
      </c>
      <c r="J22" s="10">
        <v>0.09</v>
      </c>
      <c r="K22" s="10">
        <f>'Dec 2022'!K22+'Jan 2023'!J22</f>
        <v>0.33999999999999997</v>
      </c>
      <c r="L22" s="10">
        <v>0</v>
      </c>
      <c r="M22" s="10">
        <f>'Dec 2022'!M22+'Jan 2023'!L22</f>
        <v>0</v>
      </c>
      <c r="N22" s="10">
        <f t="shared" si="1"/>
        <v>15.940000000000005</v>
      </c>
      <c r="O22" s="11">
        <f>'Dec 2022'!T22</f>
        <v>775.83999999999992</v>
      </c>
      <c r="P22" s="10">
        <v>0</v>
      </c>
      <c r="Q22" s="10">
        <f>'Dec 2022'!Q22+'Jan 2023'!P22</f>
        <v>104.33000000000001</v>
      </c>
      <c r="R22" s="10">
        <v>0</v>
      </c>
      <c r="S22" s="10">
        <f>'Dec 2022'!S22+'Jan 2023'!R22</f>
        <v>0</v>
      </c>
      <c r="T22" s="11">
        <f t="shared" si="2"/>
        <v>775.83999999999992</v>
      </c>
      <c r="U22" s="11">
        <f t="shared" si="3"/>
        <v>818.8499999999998</v>
      </c>
      <c r="V22" s="12"/>
      <c r="W22" s="12"/>
    </row>
    <row r="23" spans="1:23" ht="42.75" customHeight="1">
      <c r="A23" s="8">
        <v>14</v>
      </c>
      <c r="B23" s="9" t="s">
        <v>31</v>
      </c>
      <c r="C23" s="10">
        <f>'Dec 2022'!H23</f>
        <v>1124.5019999999997</v>
      </c>
      <c r="D23" s="10">
        <v>4.0999999999999996</v>
      </c>
      <c r="E23" s="10">
        <f>'Dec 2022'!E23+'Jan 2023'!D23</f>
        <v>30.64</v>
      </c>
      <c r="F23" s="10">
        <v>0</v>
      </c>
      <c r="G23" s="10">
        <f>'Dec 2022'!G23+'Jan 2023'!F23</f>
        <v>75</v>
      </c>
      <c r="H23" s="10">
        <f t="shared" si="0"/>
        <v>1128.6019999999996</v>
      </c>
      <c r="I23" s="10">
        <f>'Dec 2022'!N23</f>
        <v>41.793999999999997</v>
      </c>
      <c r="J23" s="10">
        <v>4.43</v>
      </c>
      <c r="K23" s="10">
        <f>'Dec 2022'!K23+'Jan 2023'!J23</f>
        <v>30.93</v>
      </c>
      <c r="L23" s="10">
        <v>0</v>
      </c>
      <c r="M23" s="10">
        <f>'Dec 2022'!M23+'Jan 2023'!L23</f>
        <v>0</v>
      </c>
      <c r="N23" s="10">
        <f t="shared" si="1"/>
        <v>46.223999999999997</v>
      </c>
      <c r="O23" s="11">
        <f>'Dec 2022'!T23</f>
        <v>403.42500000000001</v>
      </c>
      <c r="P23" s="10">
        <v>0.45</v>
      </c>
      <c r="Q23" s="10">
        <f>'Dec 2022'!Q23+'Jan 2023'!P23</f>
        <v>236.59000000000003</v>
      </c>
      <c r="R23" s="10">
        <v>0</v>
      </c>
      <c r="S23" s="10">
        <f>'Dec 2022'!S23+'Jan 2023'!R23</f>
        <v>0</v>
      </c>
      <c r="T23" s="11">
        <f t="shared" si="2"/>
        <v>403.875</v>
      </c>
      <c r="U23" s="11">
        <f t="shared" si="3"/>
        <v>1578.7009999999996</v>
      </c>
      <c r="V23" s="12"/>
      <c r="W23" s="12"/>
    </row>
    <row r="24" spans="1:23" s="17" customFormat="1" ht="42.75" customHeight="1">
      <c r="A24" s="14"/>
      <c r="B24" s="15" t="s">
        <v>32</v>
      </c>
      <c r="C24" s="16">
        <f>SUM(C20:C23)</f>
        <v>2318.686999999999</v>
      </c>
      <c r="D24" s="16">
        <f t="shared" ref="D24:U24" si="7">SUM(D20:D23)</f>
        <v>4.0999999999999996</v>
      </c>
      <c r="E24" s="16">
        <f t="shared" si="7"/>
        <v>31.52</v>
      </c>
      <c r="F24" s="16">
        <f t="shared" si="7"/>
        <v>0</v>
      </c>
      <c r="G24" s="16">
        <f t="shared" si="7"/>
        <v>255</v>
      </c>
      <c r="H24" s="16">
        <f t="shared" si="7"/>
        <v>2322.7869999999984</v>
      </c>
      <c r="I24" s="16">
        <f t="shared" si="7"/>
        <v>264.63800000000009</v>
      </c>
      <c r="J24" s="16">
        <f t="shared" si="7"/>
        <v>4.84</v>
      </c>
      <c r="K24" s="16">
        <f t="shared" si="7"/>
        <v>36.119999999999997</v>
      </c>
      <c r="L24" s="16">
        <f t="shared" si="7"/>
        <v>0</v>
      </c>
      <c r="M24" s="16">
        <f t="shared" si="7"/>
        <v>0</v>
      </c>
      <c r="N24" s="16">
        <f t="shared" si="7"/>
        <v>269.47800000000012</v>
      </c>
      <c r="O24" s="16">
        <f t="shared" si="7"/>
        <v>2231.7259999999997</v>
      </c>
      <c r="P24" s="16">
        <f t="shared" si="7"/>
        <v>0.98</v>
      </c>
      <c r="Q24" s="16">
        <f t="shared" si="7"/>
        <v>785.48</v>
      </c>
      <c r="R24" s="16">
        <f t="shared" si="7"/>
        <v>0</v>
      </c>
      <c r="S24" s="16">
        <f t="shared" si="7"/>
        <v>0</v>
      </c>
      <c r="T24" s="16">
        <f t="shared" si="7"/>
        <v>2232.7059999999997</v>
      </c>
      <c r="U24" s="16">
        <f t="shared" si="7"/>
        <v>4824.9709999999986</v>
      </c>
      <c r="V24" s="108"/>
      <c r="W24" s="108"/>
    </row>
    <row r="25" spans="1:23" s="17" customFormat="1" ht="42.75" customHeight="1">
      <c r="A25" s="14"/>
      <c r="B25" s="15" t="s">
        <v>33</v>
      </c>
      <c r="C25" s="16">
        <f>C24+C19+C15+C11</f>
        <v>9932.8129999999946</v>
      </c>
      <c r="D25" s="16">
        <f t="shared" ref="D25:U25" si="8">D24+D19+D15+D11</f>
        <v>4.74</v>
      </c>
      <c r="E25" s="16">
        <f t="shared" si="8"/>
        <v>139.97999999999999</v>
      </c>
      <c r="F25" s="16">
        <f t="shared" si="8"/>
        <v>204.73</v>
      </c>
      <c r="G25" s="16">
        <f t="shared" si="8"/>
        <v>1252.6300000000001</v>
      </c>
      <c r="H25" s="16">
        <f t="shared" si="8"/>
        <v>9732.8229999999949</v>
      </c>
      <c r="I25" s="16">
        <f t="shared" si="8"/>
        <v>1577.1490000000003</v>
      </c>
      <c r="J25" s="16">
        <f t="shared" si="8"/>
        <v>15.154</v>
      </c>
      <c r="K25" s="16">
        <f t="shared" si="8"/>
        <v>157.92500000000001</v>
      </c>
      <c r="L25" s="16">
        <f t="shared" si="8"/>
        <v>2.77</v>
      </c>
      <c r="M25" s="16">
        <f t="shared" si="8"/>
        <v>5.22</v>
      </c>
      <c r="N25" s="16">
        <f t="shared" si="8"/>
        <v>1589.5330000000004</v>
      </c>
      <c r="O25" s="16">
        <f t="shared" si="8"/>
        <v>6548.5939999999991</v>
      </c>
      <c r="P25" s="16">
        <f t="shared" si="8"/>
        <v>383.55</v>
      </c>
      <c r="Q25" s="16">
        <f t="shared" si="8"/>
        <v>2265.67</v>
      </c>
      <c r="R25" s="16">
        <f t="shared" si="8"/>
        <v>0</v>
      </c>
      <c r="S25" s="16">
        <f t="shared" si="8"/>
        <v>71.009999999999991</v>
      </c>
      <c r="T25" s="16">
        <f t="shared" si="8"/>
        <v>6932.1440000000002</v>
      </c>
      <c r="U25" s="16">
        <f t="shared" si="8"/>
        <v>18254.499999999996</v>
      </c>
      <c r="V25" s="108"/>
      <c r="W25" s="108"/>
    </row>
    <row r="26" spans="1:23" ht="42.75" customHeight="1">
      <c r="A26" s="8">
        <v>15</v>
      </c>
      <c r="B26" s="9" t="s">
        <v>34</v>
      </c>
      <c r="C26" s="10">
        <f>'Dec 2022'!H26</f>
        <v>1208.0319999999995</v>
      </c>
      <c r="D26" s="10">
        <v>1.79</v>
      </c>
      <c r="E26" s="10">
        <f>'Dec 2022'!E26+'Jan 2023'!D26</f>
        <v>26.179999999999996</v>
      </c>
      <c r="F26" s="10">
        <v>0</v>
      </c>
      <c r="G26" s="10">
        <f>'Dec 2022'!G26+'Jan 2023'!F26</f>
        <v>0</v>
      </c>
      <c r="H26" s="10">
        <f t="shared" si="0"/>
        <v>1209.8219999999994</v>
      </c>
      <c r="I26" s="10">
        <f>'Dec 2022'!N26</f>
        <v>0.08</v>
      </c>
      <c r="J26" s="10">
        <v>0</v>
      </c>
      <c r="K26" s="10">
        <f>'Dec 2022'!K26+'Jan 2023'!J26</f>
        <v>0.12</v>
      </c>
      <c r="L26" s="10">
        <v>0</v>
      </c>
      <c r="M26" s="10">
        <f>'Dec 2022'!M26+'Jan 2023'!L26</f>
        <v>0.04</v>
      </c>
      <c r="N26" s="10">
        <f t="shared" si="1"/>
        <v>0.08</v>
      </c>
      <c r="O26" s="11">
        <f>'Dec 2022'!T26</f>
        <v>186.39000000000001</v>
      </c>
      <c r="P26" s="10">
        <v>4.59</v>
      </c>
      <c r="Q26" s="10">
        <f>'Dec 2022'!Q26+'Jan 2023'!P26</f>
        <v>61.84</v>
      </c>
      <c r="R26" s="10">
        <v>0</v>
      </c>
      <c r="S26" s="10">
        <f>'Dec 2022'!S26+'Jan 2023'!R26</f>
        <v>0.42</v>
      </c>
      <c r="T26" s="11">
        <f t="shared" si="2"/>
        <v>190.98000000000002</v>
      </c>
      <c r="U26" s="11">
        <f t="shared" si="3"/>
        <v>1400.8819999999994</v>
      </c>
      <c r="V26" s="115"/>
      <c r="W26" s="12"/>
    </row>
    <row r="27" spans="1:23" ht="42.75" customHeight="1">
      <c r="A27" s="8">
        <v>16</v>
      </c>
      <c r="B27" s="9" t="s">
        <v>67</v>
      </c>
      <c r="C27" s="10">
        <f>'Dec 2022'!H27</f>
        <v>10397.026999999993</v>
      </c>
      <c r="D27" s="10">
        <v>4.42</v>
      </c>
      <c r="E27" s="10">
        <f>'Dec 2022'!E27+'Jan 2023'!D27</f>
        <v>103.26</v>
      </c>
      <c r="F27" s="10">
        <v>0</v>
      </c>
      <c r="G27" s="10">
        <f>'Dec 2022'!G27+'Jan 2023'!F27</f>
        <v>0</v>
      </c>
      <c r="H27" s="10">
        <f t="shared" si="0"/>
        <v>10401.446999999993</v>
      </c>
      <c r="I27" s="10">
        <f>'Dec 2022'!N27</f>
        <v>404.16500000000002</v>
      </c>
      <c r="J27" s="10">
        <v>0.56999999999999995</v>
      </c>
      <c r="K27" s="10">
        <f>'Dec 2022'!K27+'Jan 2023'!J27</f>
        <v>19.7</v>
      </c>
      <c r="L27" s="10">
        <v>0</v>
      </c>
      <c r="M27" s="10">
        <f>'Dec 2022'!M27+'Jan 2023'!L27</f>
        <v>0</v>
      </c>
      <c r="N27" s="10">
        <f t="shared" si="1"/>
        <v>404.73500000000001</v>
      </c>
      <c r="O27" s="11">
        <f>'Dec 2022'!T27</f>
        <v>37.380000000000017</v>
      </c>
      <c r="P27" s="10">
        <v>0.5</v>
      </c>
      <c r="Q27" s="10">
        <f>'Dec 2022'!Q27+'Jan 2023'!P27</f>
        <v>7.75</v>
      </c>
      <c r="R27" s="10">
        <v>0</v>
      </c>
      <c r="S27" s="10">
        <f>'Dec 2022'!S27+'Jan 2023'!R27</f>
        <v>45.22</v>
      </c>
      <c r="T27" s="11">
        <f t="shared" si="2"/>
        <v>37.880000000000017</v>
      </c>
      <c r="U27" s="11">
        <f t="shared" si="3"/>
        <v>10844.061999999993</v>
      </c>
      <c r="V27" s="115"/>
      <c r="W27" s="12"/>
    </row>
    <row r="28" spans="1:23" s="17" customFormat="1" ht="42.75" customHeight="1">
      <c r="A28" s="14"/>
      <c r="B28" s="15" t="s">
        <v>35</v>
      </c>
      <c r="C28" s="16">
        <f>SUM(C26:C27)</f>
        <v>11605.058999999992</v>
      </c>
      <c r="D28" s="16">
        <f t="shared" ref="D28:U28" si="9">SUM(D26:D27)</f>
        <v>6.21</v>
      </c>
      <c r="E28" s="16">
        <f t="shared" si="9"/>
        <v>129.44</v>
      </c>
      <c r="F28" s="16">
        <f t="shared" si="9"/>
        <v>0</v>
      </c>
      <c r="G28" s="16">
        <f t="shared" si="9"/>
        <v>0</v>
      </c>
      <c r="H28" s="16">
        <f t="shared" si="9"/>
        <v>11611.268999999993</v>
      </c>
      <c r="I28" s="16">
        <f t="shared" si="9"/>
        <v>404.245</v>
      </c>
      <c r="J28" s="16">
        <f t="shared" si="9"/>
        <v>0.56999999999999995</v>
      </c>
      <c r="K28" s="16">
        <f t="shared" si="9"/>
        <v>19.82</v>
      </c>
      <c r="L28" s="16">
        <f t="shared" si="9"/>
        <v>0</v>
      </c>
      <c r="M28" s="16">
        <f t="shared" si="9"/>
        <v>0.04</v>
      </c>
      <c r="N28" s="16">
        <f t="shared" si="9"/>
        <v>404.815</v>
      </c>
      <c r="O28" s="16">
        <f t="shared" si="9"/>
        <v>223.77000000000004</v>
      </c>
      <c r="P28" s="16">
        <f t="shared" si="9"/>
        <v>5.09</v>
      </c>
      <c r="Q28" s="16">
        <f t="shared" si="9"/>
        <v>69.59</v>
      </c>
      <c r="R28" s="16">
        <f t="shared" si="9"/>
        <v>0</v>
      </c>
      <c r="S28" s="16">
        <f t="shared" si="9"/>
        <v>45.64</v>
      </c>
      <c r="T28" s="16">
        <f t="shared" si="9"/>
        <v>228.86000000000004</v>
      </c>
      <c r="U28" s="16">
        <f t="shared" si="9"/>
        <v>12244.943999999992</v>
      </c>
      <c r="V28" s="108"/>
      <c r="W28" s="108"/>
    </row>
    <row r="29" spans="1:23" ht="42.75" customHeight="1">
      <c r="A29" s="8">
        <v>17</v>
      </c>
      <c r="B29" s="9" t="s">
        <v>36</v>
      </c>
      <c r="C29" s="10">
        <f>'Dec 2022'!H29</f>
        <v>4488.8160000000007</v>
      </c>
      <c r="D29" s="10">
        <v>29.38</v>
      </c>
      <c r="E29" s="10">
        <f>'Dec 2022'!E29+'Jan 2023'!D29</f>
        <v>116.583</v>
      </c>
      <c r="F29" s="10">
        <v>0</v>
      </c>
      <c r="G29" s="10">
        <f>'Dec 2022'!G29+'Jan 2023'!F29</f>
        <v>0</v>
      </c>
      <c r="H29" s="10">
        <f t="shared" si="0"/>
        <v>4518.1960000000008</v>
      </c>
      <c r="I29" s="10">
        <f>'Dec 2022'!N29</f>
        <v>184.70000000000002</v>
      </c>
      <c r="J29" s="10">
        <v>0</v>
      </c>
      <c r="K29" s="10">
        <f>'Dec 2022'!K29+'Jan 2023'!J29</f>
        <v>113.00999999999999</v>
      </c>
      <c r="L29" s="10">
        <v>0</v>
      </c>
      <c r="M29" s="10">
        <f>'Dec 2022'!M29+'Jan 2023'!L29</f>
        <v>0</v>
      </c>
      <c r="N29" s="10">
        <f t="shared" si="1"/>
        <v>184.70000000000002</v>
      </c>
      <c r="O29" s="11">
        <f>'Dec 2022'!T29</f>
        <v>462.65</v>
      </c>
      <c r="P29" s="10">
        <f>0.45+53.97</f>
        <v>54.42</v>
      </c>
      <c r="Q29" s="10">
        <f>'Dec 2022'!Q29+'Jan 2023'!P29</f>
        <v>378.99</v>
      </c>
      <c r="R29" s="10">
        <v>0</v>
      </c>
      <c r="S29" s="10">
        <f>'Dec 2022'!S29+'Jan 2023'!R29</f>
        <v>0</v>
      </c>
      <c r="T29" s="11">
        <f t="shared" si="2"/>
        <v>517.06999999999994</v>
      </c>
      <c r="U29" s="11">
        <f t="shared" si="3"/>
        <v>5219.9660000000003</v>
      </c>
      <c r="V29" s="12"/>
      <c r="W29" s="12"/>
    </row>
    <row r="30" spans="1:23" ht="42.75" customHeight="1">
      <c r="A30" s="8">
        <v>18</v>
      </c>
      <c r="B30" s="9" t="s">
        <v>37</v>
      </c>
      <c r="C30" s="10">
        <f>'Dec 2022'!H30</f>
        <v>6424.2580000000025</v>
      </c>
      <c r="D30" s="10">
        <v>8.3000000000000007</v>
      </c>
      <c r="E30" s="10">
        <f>'Dec 2022'!E30+'Jan 2023'!D30</f>
        <v>257.21400000000006</v>
      </c>
      <c r="F30" s="10">
        <v>0</v>
      </c>
      <c r="G30" s="10">
        <f>'Dec 2022'!G30+'Jan 2023'!F30</f>
        <v>0</v>
      </c>
      <c r="H30" s="10">
        <f t="shared" si="0"/>
        <v>6432.5580000000027</v>
      </c>
      <c r="I30" s="10">
        <f>'Dec 2022'!N30</f>
        <v>130.80000000000001</v>
      </c>
      <c r="J30" s="10">
        <v>0</v>
      </c>
      <c r="K30" s="10">
        <f>'Dec 2022'!K30+'Jan 2023'!J30</f>
        <v>130.80000000000001</v>
      </c>
      <c r="L30" s="10">
        <v>0</v>
      </c>
      <c r="M30" s="10">
        <f>'Dec 2022'!M30+'Jan 2023'!L30</f>
        <v>0</v>
      </c>
      <c r="N30" s="10">
        <f t="shared" si="1"/>
        <v>130.80000000000001</v>
      </c>
      <c r="O30" s="11">
        <f>'Dec 2022'!T30</f>
        <v>149.87</v>
      </c>
      <c r="P30" s="10">
        <v>44.91</v>
      </c>
      <c r="Q30" s="10">
        <f>'Dec 2022'!Q30+'Jan 2023'!P30</f>
        <v>194.55999999999997</v>
      </c>
      <c r="R30" s="10">
        <v>0</v>
      </c>
      <c r="S30" s="10">
        <f>'Dec 2022'!S30+'Jan 2023'!R30</f>
        <v>0</v>
      </c>
      <c r="T30" s="11">
        <f t="shared" si="2"/>
        <v>194.78</v>
      </c>
      <c r="U30" s="11">
        <f t="shared" si="3"/>
        <v>6758.1380000000026</v>
      </c>
      <c r="V30" s="12"/>
      <c r="W30" s="12"/>
    </row>
    <row r="31" spans="1:23" ht="42.75" customHeight="1">
      <c r="A31" s="8">
        <v>19</v>
      </c>
      <c r="B31" s="9" t="s">
        <v>38</v>
      </c>
      <c r="C31" s="10">
        <f>'Dec 2022'!H31</f>
        <v>3114.2289999999994</v>
      </c>
      <c r="D31" s="10">
        <v>3.9510000000000001</v>
      </c>
      <c r="E31" s="10">
        <f>'Dec 2022'!E31+'Jan 2023'!D31</f>
        <v>47.497000000000007</v>
      </c>
      <c r="F31" s="10">
        <v>0</v>
      </c>
      <c r="G31" s="10">
        <f>'Dec 2022'!G31+'Jan 2023'!F31</f>
        <v>3.38</v>
      </c>
      <c r="H31" s="10">
        <f t="shared" si="0"/>
        <v>3118.1799999999994</v>
      </c>
      <c r="I31" s="10">
        <f>'Dec 2022'!N31</f>
        <v>50.180000000000007</v>
      </c>
      <c r="J31" s="10">
        <v>0</v>
      </c>
      <c r="K31" s="10">
        <f>'Dec 2022'!K31+'Jan 2023'!J31</f>
        <v>47.02</v>
      </c>
      <c r="L31" s="10">
        <v>0</v>
      </c>
      <c r="M31" s="10">
        <f>'Dec 2022'!M31+'Jan 2023'!L31</f>
        <v>0</v>
      </c>
      <c r="N31" s="10">
        <f t="shared" si="1"/>
        <v>50.180000000000007</v>
      </c>
      <c r="O31" s="11">
        <f>'Dec 2022'!T31</f>
        <v>244.44</v>
      </c>
      <c r="P31" s="10">
        <v>0</v>
      </c>
      <c r="Q31" s="10">
        <f>'Dec 2022'!Q31+'Jan 2023'!P31</f>
        <v>115.96000000000001</v>
      </c>
      <c r="R31" s="10">
        <v>0</v>
      </c>
      <c r="S31" s="10">
        <f>'Dec 2022'!S31+'Jan 2023'!R31</f>
        <v>0</v>
      </c>
      <c r="T31" s="11">
        <f t="shared" si="2"/>
        <v>244.44</v>
      </c>
      <c r="U31" s="11">
        <f t="shared" si="3"/>
        <v>3412.7999999999993</v>
      </c>
      <c r="V31" s="12"/>
      <c r="W31" s="12"/>
    </row>
    <row r="32" spans="1:23" ht="42.75" customHeight="1">
      <c r="A32" s="8">
        <v>20</v>
      </c>
      <c r="B32" s="9" t="s">
        <v>39</v>
      </c>
      <c r="C32" s="10">
        <f>'Dec 2022'!H32</f>
        <v>4382.8100000000004</v>
      </c>
      <c r="D32" s="10">
        <v>2.99</v>
      </c>
      <c r="E32" s="10">
        <f>'Dec 2022'!E32+'Jan 2023'!D32</f>
        <v>29.929999999999993</v>
      </c>
      <c r="F32" s="10">
        <v>0</v>
      </c>
      <c r="G32" s="10">
        <f>'Dec 2022'!G32+'Jan 2023'!F32</f>
        <v>0</v>
      </c>
      <c r="H32" s="10">
        <f t="shared" si="0"/>
        <v>4385.8</v>
      </c>
      <c r="I32" s="10">
        <f>'Dec 2022'!N32</f>
        <v>224.2</v>
      </c>
      <c r="J32" s="10">
        <v>0.2</v>
      </c>
      <c r="K32" s="10">
        <f>'Dec 2022'!K32+'Jan 2023'!J32</f>
        <v>90.559999999999988</v>
      </c>
      <c r="L32" s="10">
        <v>0</v>
      </c>
      <c r="M32" s="10">
        <f>'Dec 2022'!M32+'Jan 2023'!L32</f>
        <v>0</v>
      </c>
      <c r="N32" s="10">
        <f t="shared" si="1"/>
        <v>224.39999999999998</v>
      </c>
      <c r="O32" s="11">
        <f>'Dec 2022'!T32</f>
        <v>243.64999999999995</v>
      </c>
      <c r="P32" s="10">
        <v>0</v>
      </c>
      <c r="Q32" s="10">
        <f>'Dec 2022'!Q32+'Jan 2023'!P32</f>
        <v>0.01</v>
      </c>
      <c r="R32" s="10">
        <v>0</v>
      </c>
      <c r="S32" s="10">
        <f>'Dec 2022'!S32+'Jan 2023'!R32</f>
        <v>27.41</v>
      </c>
      <c r="T32" s="11">
        <f t="shared" si="2"/>
        <v>243.64999999999995</v>
      </c>
      <c r="U32" s="11">
        <f t="shared" si="3"/>
        <v>4853.8499999999995</v>
      </c>
      <c r="V32" s="12"/>
      <c r="W32" s="12"/>
    </row>
    <row r="33" spans="1:23" s="17" customFormat="1" ht="42.75" customHeight="1">
      <c r="A33" s="14"/>
      <c r="B33" s="15" t="s">
        <v>68</v>
      </c>
      <c r="C33" s="16">
        <f>SUM(C29:C32)</f>
        <v>18410.113000000005</v>
      </c>
      <c r="D33" s="16">
        <f t="shared" ref="D33:U33" si="10">SUM(D29:D32)</f>
        <v>44.621000000000002</v>
      </c>
      <c r="E33" s="16">
        <f t="shared" si="10"/>
        <v>451.22400000000005</v>
      </c>
      <c r="F33" s="16">
        <f t="shared" si="10"/>
        <v>0</v>
      </c>
      <c r="G33" s="16">
        <f t="shared" si="10"/>
        <v>3.38</v>
      </c>
      <c r="H33" s="16">
        <f t="shared" si="10"/>
        <v>18454.734000000004</v>
      </c>
      <c r="I33" s="16">
        <f t="shared" si="10"/>
        <v>589.88</v>
      </c>
      <c r="J33" s="16">
        <f t="shared" si="10"/>
        <v>0.2</v>
      </c>
      <c r="K33" s="16">
        <f t="shared" si="10"/>
        <v>381.39</v>
      </c>
      <c r="L33" s="16">
        <f t="shared" si="10"/>
        <v>0</v>
      </c>
      <c r="M33" s="16">
        <f t="shared" si="10"/>
        <v>0</v>
      </c>
      <c r="N33" s="16">
        <f t="shared" si="10"/>
        <v>590.07999999999993</v>
      </c>
      <c r="O33" s="16">
        <f t="shared" si="10"/>
        <v>1100.6099999999999</v>
      </c>
      <c r="P33" s="16">
        <f t="shared" si="10"/>
        <v>99.33</v>
      </c>
      <c r="Q33" s="16">
        <f t="shared" si="10"/>
        <v>689.52</v>
      </c>
      <c r="R33" s="16">
        <f t="shared" si="10"/>
        <v>0</v>
      </c>
      <c r="S33" s="16">
        <f t="shared" si="10"/>
        <v>27.41</v>
      </c>
      <c r="T33" s="16">
        <f t="shared" si="10"/>
        <v>1199.9399999999998</v>
      </c>
      <c r="U33" s="16">
        <f t="shared" si="10"/>
        <v>20244.754000000001</v>
      </c>
      <c r="V33" s="108"/>
      <c r="W33" s="108"/>
    </row>
    <row r="34" spans="1:23" ht="42.75" customHeight="1">
      <c r="A34" s="8">
        <v>21</v>
      </c>
      <c r="B34" s="9" t="s">
        <v>40</v>
      </c>
      <c r="C34" s="10">
        <f>'Dec 2022'!H34</f>
        <v>6013.9800000000014</v>
      </c>
      <c r="D34" s="10">
        <v>11.18</v>
      </c>
      <c r="E34" s="10">
        <f>'Dec 2022'!E34+'Jan 2023'!D34</f>
        <v>159.05000000000001</v>
      </c>
      <c r="F34" s="10">
        <v>0</v>
      </c>
      <c r="G34" s="10">
        <f>'Dec 2022'!G34+'Jan 2023'!F34</f>
        <v>0</v>
      </c>
      <c r="H34" s="10">
        <f t="shared" si="0"/>
        <v>6025.1600000000017</v>
      </c>
      <c r="I34" s="10">
        <f>'Dec 2022'!N34</f>
        <v>2</v>
      </c>
      <c r="J34" s="10">
        <v>0</v>
      </c>
      <c r="K34" s="10">
        <f>'Dec 2022'!K34+'Jan 2023'!J34</f>
        <v>2</v>
      </c>
      <c r="L34" s="10">
        <v>0</v>
      </c>
      <c r="M34" s="10">
        <f>'Dec 2022'!M34+'Jan 2023'!L34</f>
        <v>0</v>
      </c>
      <c r="N34" s="10">
        <f t="shared" si="1"/>
        <v>2</v>
      </c>
      <c r="O34" s="11">
        <f>'Dec 2022'!T34</f>
        <v>38.700000000000003</v>
      </c>
      <c r="P34" s="10">
        <v>0</v>
      </c>
      <c r="Q34" s="10">
        <f>'Dec 2022'!Q34+'Jan 2023'!P34</f>
        <v>38.700000000000003</v>
      </c>
      <c r="R34" s="10">
        <v>0</v>
      </c>
      <c r="S34" s="10">
        <f>'Dec 2022'!S34+'Jan 2023'!R34</f>
        <v>0</v>
      </c>
      <c r="T34" s="11">
        <f t="shared" si="2"/>
        <v>38.700000000000003</v>
      </c>
      <c r="U34" s="11">
        <f t="shared" si="3"/>
        <v>6065.8600000000015</v>
      </c>
      <c r="V34" s="18"/>
      <c r="W34" s="18"/>
    </row>
    <row r="35" spans="1:23" ht="42.75" customHeight="1">
      <c r="A35" s="8">
        <v>22</v>
      </c>
      <c r="B35" s="9" t="s">
        <v>41</v>
      </c>
      <c r="C35" s="10">
        <f>'Dec 2022'!H35</f>
        <v>4762.6350000000011</v>
      </c>
      <c r="D35" s="10">
        <v>16.77</v>
      </c>
      <c r="E35" s="10">
        <f>'Dec 2022'!E35+'Jan 2023'!D35</f>
        <v>168.14000000000001</v>
      </c>
      <c r="F35" s="10">
        <v>0</v>
      </c>
      <c r="G35" s="10">
        <f>'Dec 2022'!G35+'Jan 2023'!F35</f>
        <v>13.64</v>
      </c>
      <c r="H35" s="10">
        <f t="shared" si="0"/>
        <v>4779.4050000000016</v>
      </c>
      <c r="I35" s="10">
        <f>'Dec 2022'!N35</f>
        <v>0.1</v>
      </c>
      <c r="J35" s="10">
        <v>0</v>
      </c>
      <c r="K35" s="10">
        <f>'Dec 2022'!K35+'Jan 2023'!J35</f>
        <v>0</v>
      </c>
      <c r="L35" s="10">
        <v>0</v>
      </c>
      <c r="M35" s="10">
        <f>'Dec 2022'!M35+'Jan 2023'!L35</f>
        <v>0</v>
      </c>
      <c r="N35" s="10">
        <f t="shared" si="1"/>
        <v>0.1</v>
      </c>
      <c r="O35" s="11">
        <f>'Dec 2022'!T35</f>
        <v>125.47000000000001</v>
      </c>
      <c r="P35" s="10">
        <v>0</v>
      </c>
      <c r="Q35" s="10">
        <f>'Dec 2022'!Q35+'Jan 2023'!P35</f>
        <v>109.04</v>
      </c>
      <c r="R35" s="10">
        <v>0</v>
      </c>
      <c r="S35" s="10">
        <f>'Dec 2022'!S35+'Jan 2023'!R35</f>
        <v>0</v>
      </c>
      <c r="T35" s="11">
        <f t="shared" si="2"/>
        <v>125.47000000000001</v>
      </c>
      <c r="U35" s="11">
        <f t="shared" si="3"/>
        <v>4904.9750000000022</v>
      </c>
      <c r="V35" s="18"/>
      <c r="W35" s="18"/>
    </row>
    <row r="36" spans="1:23" ht="42.75" customHeight="1">
      <c r="A36" s="8">
        <v>23</v>
      </c>
      <c r="B36" s="9" t="s">
        <v>42</v>
      </c>
      <c r="C36" s="10">
        <f>'Dec 2022'!H36</f>
        <v>19368.120000000003</v>
      </c>
      <c r="D36" s="10">
        <v>0</v>
      </c>
      <c r="E36" s="10">
        <f>'Dec 2022'!E36+'Jan 2023'!D36</f>
        <v>1.25</v>
      </c>
      <c r="F36" s="10">
        <v>0</v>
      </c>
      <c r="G36" s="10">
        <f>'Dec 2022'!G36+'Jan 2023'!F36</f>
        <v>0</v>
      </c>
      <c r="H36" s="10">
        <f t="shared" si="0"/>
        <v>19368.120000000003</v>
      </c>
      <c r="I36" s="10">
        <f>'Dec 2022'!N36</f>
        <v>8.5</v>
      </c>
      <c r="J36" s="10">
        <v>0</v>
      </c>
      <c r="K36" s="10">
        <f>'Dec 2022'!K36+'Jan 2023'!J36</f>
        <v>0</v>
      </c>
      <c r="L36" s="10">
        <v>0</v>
      </c>
      <c r="M36" s="10">
        <f>'Dec 2022'!M36+'Jan 2023'!L36</f>
        <v>0</v>
      </c>
      <c r="N36" s="10">
        <f t="shared" si="1"/>
        <v>8.5</v>
      </c>
      <c r="O36" s="11">
        <f>'Dec 2022'!T36</f>
        <v>72.39</v>
      </c>
      <c r="P36" s="10">
        <v>0</v>
      </c>
      <c r="Q36" s="10">
        <f>'Dec 2022'!Q36+'Jan 2023'!P36</f>
        <v>72.39</v>
      </c>
      <c r="R36" s="10">
        <v>0</v>
      </c>
      <c r="S36" s="10">
        <f>'Dec 2022'!S36+'Jan 2023'!R36</f>
        <v>0</v>
      </c>
      <c r="T36" s="11">
        <f t="shared" si="2"/>
        <v>72.39</v>
      </c>
      <c r="U36" s="11">
        <f t="shared" si="3"/>
        <v>19449.010000000002</v>
      </c>
      <c r="V36" s="18"/>
      <c r="W36" s="18"/>
    </row>
    <row r="37" spans="1:23" ht="42.75" customHeight="1">
      <c r="A37" s="8">
        <v>24</v>
      </c>
      <c r="B37" s="9" t="s">
        <v>43</v>
      </c>
      <c r="C37" s="10">
        <f>'Dec 2022'!H37</f>
        <v>7018.5099999999993</v>
      </c>
      <c r="D37" s="10">
        <v>0.59</v>
      </c>
      <c r="E37" s="10">
        <f>'Dec 2022'!E37+'Jan 2023'!D37</f>
        <v>11.500000000000002</v>
      </c>
      <c r="F37" s="10">
        <v>0</v>
      </c>
      <c r="G37" s="10">
        <f>'Dec 2022'!G37+'Jan 2023'!F37</f>
        <v>0</v>
      </c>
      <c r="H37" s="10">
        <f t="shared" si="0"/>
        <v>7019.0999999999995</v>
      </c>
      <c r="I37" s="10">
        <f>'Dec 2022'!N37</f>
        <v>0</v>
      </c>
      <c r="J37" s="10">
        <v>0</v>
      </c>
      <c r="K37" s="10">
        <f>'Dec 2022'!K37+'Jan 2023'!J37</f>
        <v>0</v>
      </c>
      <c r="L37" s="10">
        <v>0</v>
      </c>
      <c r="M37" s="10">
        <f>'Dec 2022'!M37+'Jan 2023'!L37</f>
        <v>0</v>
      </c>
      <c r="N37" s="10">
        <f t="shared" si="1"/>
        <v>0</v>
      </c>
      <c r="O37" s="11">
        <f>'Dec 2022'!T37</f>
        <v>3.1</v>
      </c>
      <c r="P37" s="10">
        <v>0</v>
      </c>
      <c r="Q37" s="10">
        <f>'Dec 2022'!Q37+'Jan 2023'!P37</f>
        <v>0</v>
      </c>
      <c r="R37" s="10">
        <v>0</v>
      </c>
      <c r="S37" s="10">
        <f>'Dec 2022'!S37+'Jan 2023'!R37</f>
        <v>0</v>
      </c>
      <c r="T37" s="11">
        <f t="shared" si="2"/>
        <v>3.1</v>
      </c>
      <c r="U37" s="11">
        <f t="shared" si="3"/>
        <v>7022.2</v>
      </c>
      <c r="V37" s="18"/>
      <c r="W37" s="18"/>
    </row>
    <row r="38" spans="1:23" s="17" customFormat="1" ht="42.75" customHeight="1">
      <c r="A38" s="14"/>
      <c r="B38" s="15" t="s">
        <v>44</v>
      </c>
      <c r="C38" s="16">
        <f>SUM(C34:C37)</f>
        <v>37163.245000000003</v>
      </c>
      <c r="D38" s="16">
        <f t="shared" ref="D38:U38" si="11">SUM(D34:D37)</f>
        <v>28.54</v>
      </c>
      <c r="E38" s="16">
        <f t="shared" si="11"/>
        <v>339.94000000000005</v>
      </c>
      <c r="F38" s="16">
        <f t="shared" si="11"/>
        <v>0</v>
      </c>
      <c r="G38" s="16">
        <f t="shared" si="11"/>
        <v>13.64</v>
      </c>
      <c r="H38" s="16">
        <f t="shared" si="11"/>
        <v>37191.785000000003</v>
      </c>
      <c r="I38" s="16">
        <f t="shared" si="11"/>
        <v>10.6</v>
      </c>
      <c r="J38" s="16">
        <f t="shared" si="11"/>
        <v>0</v>
      </c>
      <c r="K38" s="16">
        <f t="shared" si="11"/>
        <v>2</v>
      </c>
      <c r="L38" s="16">
        <f t="shared" si="11"/>
        <v>0</v>
      </c>
      <c r="M38" s="16">
        <f t="shared" si="11"/>
        <v>0</v>
      </c>
      <c r="N38" s="16">
        <f t="shared" si="11"/>
        <v>10.6</v>
      </c>
      <c r="O38" s="16">
        <f t="shared" si="11"/>
        <v>239.66</v>
      </c>
      <c r="P38" s="16">
        <f t="shared" si="11"/>
        <v>0</v>
      </c>
      <c r="Q38" s="16">
        <f t="shared" si="11"/>
        <v>220.13</v>
      </c>
      <c r="R38" s="16">
        <f t="shared" si="11"/>
        <v>0</v>
      </c>
      <c r="S38" s="16">
        <f t="shared" si="11"/>
        <v>0</v>
      </c>
      <c r="T38" s="16">
        <f t="shared" si="11"/>
        <v>239.66</v>
      </c>
      <c r="U38" s="16">
        <f t="shared" si="11"/>
        <v>37442.045000000006</v>
      </c>
      <c r="V38" s="108"/>
      <c r="W38" s="108"/>
    </row>
    <row r="39" spans="1:23" s="17" customFormat="1" ht="42.75" customHeight="1">
      <c r="A39" s="14"/>
      <c r="B39" s="15" t="s">
        <v>45</v>
      </c>
      <c r="C39" s="16">
        <f>C38+C33+C28</f>
        <v>67178.417000000001</v>
      </c>
      <c r="D39" s="16">
        <f t="shared" ref="D39:U39" si="12">D38+D33+D28</f>
        <v>79.370999999999995</v>
      </c>
      <c r="E39" s="16">
        <f t="shared" si="12"/>
        <v>920.60400000000004</v>
      </c>
      <c r="F39" s="16">
        <f t="shared" si="12"/>
        <v>0</v>
      </c>
      <c r="G39" s="16">
        <f t="shared" si="12"/>
        <v>17.02</v>
      </c>
      <c r="H39" s="16">
        <f t="shared" si="12"/>
        <v>67257.788</v>
      </c>
      <c r="I39" s="16">
        <f t="shared" si="12"/>
        <v>1004.725</v>
      </c>
      <c r="J39" s="16">
        <f t="shared" si="12"/>
        <v>0.77</v>
      </c>
      <c r="K39" s="16">
        <f t="shared" si="12"/>
        <v>403.21</v>
      </c>
      <c r="L39" s="16">
        <f t="shared" si="12"/>
        <v>0</v>
      </c>
      <c r="M39" s="16">
        <f t="shared" si="12"/>
        <v>0.04</v>
      </c>
      <c r="N39" s="16">
        <f t="shared" si="12"/>
        <v>1005.4949999999999</v>
      </c>
      <c r="O39" s="16">
        <f t="shared" si="12"/>
        <v>1564.04</v>
      </c>
      <c r="P39" s="16">
        <f t="shared" si="12"/>
        <v>104.42</v>
      </c>
      <c r="Q39" s="16">
        <f t="shared" si="12"/>
        <v>979.24</v>
      </c>
      <c r="R39" s="16">
        <f t="shared" si="12"/>
        <v>0</v>
      </c>
      <c r="S39" s="16">
        <f t="shared" si="12"/>
        <v>73.05</v>
      </c>
      <c r="T39" s="16">
        <f t="shared" si="12"/>
        <v>1668.46</v>
      </c>
      <c r="U39" s="16">
        <f t="shared" si="12"/>
        <v>69931.743000000002</v>
      </c>
      <c r="V39" s="108"/>
      <c r="W39" s="108"/>
    </row>
    <row r="40" spans="1:23" ht="42.75" customHeight="1">
      <c r="A40" s="8">
        <v>25</v>
      </c>
      <c r="B40" s="9" t="s">
        <v>46</v>
      </c>
      <c r="C40" s="10">
        <f>'Dec 2022'!H40</f>
        <v>13875.698000000002</v>
      </c>
      <c r="D40" s="10">
        <v>6.32</v>
      </c>
      <c r="E40" s="10">
        <f>'Dec 2022'!E40+'Jan 2023'!D40</f>
        <v>97.169999999999987</v>
      </c>
      <c r="F40" s="10">
        <v>0</v>
      </c>
      <c r="G40" s="10">
        <f>'Dec 2022'!G40+'Jan 2023'!F40</f>
        <v>0.24</v>
      </c>
      <c r="H40" s="10">
        <f t="shared" si="0"/>
        <v>13882.018000000002</v>
      </c>
      <c r="I40" s="10">
        <f>'Dec 2022'!N40</f>
        <v>226.8</v>
      </c>
      <c r="J40" s="10">
        <v>0</v>
      </c>
      <c r="K40" s="10">
        <f>'Dec 2022'!K40+'Jan 2023'!J40</f>
        <v>226.8</v>
      </c>
      <c r="L40" s="10">
        <v>0</v>
      </c>
      <c r="M40" s="10">
        <f>'Dec 2022'!M40+'Jan 2023'!L40</f>
        <v>0</v>
      </c>
      <c r="N40" s="10">
        <f t="shared" si="1"/>
        <v>226.8</v>
      </c>
      <c r="O40" s="11">
        <f>'Dec 2022'!T40</f>
        <v>75.02000000000001</v>
      </c>
      <c r="P40" s="10">
        <v>0</v>
      </c>
      <c r="Q40" s="10">
        <f>'Dec 2022'!Q40+'Jan 2023'!P40</f>
        <v>75.02000000000001</v>
      </c>
      <c r="R40" s="10">
        <v>0</v>
      </c>
      <c r="S40" s="10">
        <f>'Dec 2022'!S40+'Jan 2023'!R40</f>
        <v>0</v>
      </c>
      <c r="T40" s="11">
        <f t="shared" si="2"/>
        <v>75.02000000000001</v>
      </c>
      <c r="U40" s="11">
        <f t="shared" si="3"/>
        <v>14183.838000000002</v>
      </c>
      <c r="V40" s="12"/>
      <c r="W40" s="12"/>
    </row>
    <row r="41" spans="1:23" ht="42.75" customHeight="1">
      <c r="A41" s="8">
        <v>26</v>
      </c>
      <c r="B41" s="9" t="s">
        <v>47</v>
      </c>
      <c r="C41" s="10">
        <f>'Dec 2022'!H41</f>
        <v>10587.605999999994</v>
      </c>
      <c r="D41" s="10">
        <v>8</v>
      </c>
      <c r="E41" s="10">
        <f>'Dec 2022'!E41+'Jan 2023'!D41</f>
        <v>485.89</v>
      </c>
      <c r="F41" s="10">
        <v>0</v>
      </c>
      <c r="G41" s="10">
        <f>'Dec 2022'!G41+'Jan 2023'!F41</f>
        <v>0</v>
      </c>
      <c r="H41" s="10">
        <f t="shared" si="0"/>
        <v>10595.605999999994</v>
      </c>
      <c r="I41" s="10">
        <f>'Dec 2022'!N41</f>
        <v>0</v>
      </c>
      <c r="J41" s="10">
        <v>0</v>
      </c>
      <c r="K41" s="10">
        <f>'Dec 2022'!K41+'Jan 2023'!J41</f>
        <v>0</v>
      </c>
      <c r="L41" s="10">
        <v>0</v>
      </c>
      <c r="M41" s="10">
        <f>'Dec 2022'!M41+'Jan 2023'!L41</f>
        <v>0</v>
      </c>
      <c r="N41" s="10">
        <f t="shared" si="1"/>
        <v>0</v>
      </c>
      <c r="O41" s="11">
        <f>'Dec 2022'!T41</f>
        <v>89.580000000000013</v>
      </c>
      <c r="P41" s="10">
        <v>0</v>
      </c>
      <c r="Q41" s="10">
        <f>'Dec 2022'!Q41+'Jan 2023'!P41</f>
        <v>89.580000000000013</v>
      </c>
      <c r="R41" s="10">
        <v>0</v>
      </c>
      <c r="S41" s="10">
        <f>'Dec 2022'!S41+'Jan 2023'!R41</f>
        <v>0</v>
      </c>
      <c r="T41" s="11">
        <f t="shared" si="2"/>
        <v>89.580000000000013</v>
      </c>
      <c r="U41" s="11">
        <f t="shared" si="3"/>
        <v>10685.185999999994</v>
      </c>
      <c r="V41" s="12"/>
      <c r="W41" s="12"/>
    </row>
    <row r="42" spans="1:23" ht="42.75" customHeight="1">
      <c r="A42" s="8">
        <v>27</v>
      </c>
      <c r="B42" s="9" t="s">
        <v>48</v>
      </c>
      <c r="C42" s="10">
        <f>'Dec 2022'!H42</f>
        <v>23964.364000000001</v>
      </c>
      <c r="D42" s="10">
        <v>7.61</v>
      </c>
      <c r="E42" s="10">
        <f>'Dec 2022'!E42+'Jan 2023'!D42</f>
        <v>84.419999999999987</v>
      </c>
      <c r="F42" s="10">
        <v>0</v>
      </c>
      <c r="G42" s="10">
        <f>'Dec 2022'!G42+'Jan 2023'!F42</f>
        <v>0</v>
      </c>
      <c r="H42" s="10">
        <f t="shared" si="0"/>
        <v>23971.974000000002</v>
      </c>
      <c r="I42" s="10">
        <f>'Dec 2022'!N42</f>
        <v>0</v>
      </c>
      <c r="J42" s="10">
        <v>0</v>
      </c>
      <c r="K42" s="10">
        <f>'Dec 2022'!K42+'Jan 2023'!J42</f>
        <v>0</v>
      </c>
      <c r="L42" s="10">
        <v>0</v>
      </c>
      <c r="M42" s="10">
        <f>'Dec 2022'!M42+'Jan 2023'!L42</f>
        <v>0</v>
      </c>
      <c r="N42" s="10">
        <f t="shared" si="1"/>
        <v>0</v>
      </c>
      <c r="O42" s="11">
        <f>'Dec 2022'!T42</f>
        <v>38.47</v>
      </c>
      <c r="P42" s="10">
        <v>0</v>
      </c>
      <c r="Q42" s="10">
        <f>'Dec 2022'!Q42+'Jan 2023'!P42</f>
        <v>38.47</v>
      </c>
      <c r="R42" s="10">
        <v>0</v>
      </c>
      <c r="S42" s="10">
        <f>'Dec 2022'!S42+'Jan 2023'!R42</f>
        <v>0</v>
      </c>
      <c r="T42" s="11">
        <f t="shared" si="2"/>
        <v>38.47</v>
      </c>
      <c r="U42" s="11">
        <f t="shared" si="3"/>
        <v>24010.444000000003</v>
      </c>
      <c r="V42" s="12"/>
      <c r="W42" s="12"/>
    </row>
    <row r="43" spans="1:23" ht="42.75" customHeight="1">
      <c r="A43" s="8">
        <v>28</v>
      </c>
      <c r="B43" s="9" t="s">
        <v>49</v>
      </c>
      <c r="C43" s="10">
        <f>'Dec 2022'!H43+191.73</f>
        <v>2650.6130000000003</v>
      </c>
      <c r="D43" s="10">
        <v>4.5599999999999996</v>
      </c>
      <c r="E43" s="10">
        <f>'Dec 2022'!E43+'Jan 2023'!D43</f>
        <v>176.98</v>
      </c>
      <c r="F43" s="10">
        <v>0</v>
      </c>
      <c r="G43" s="10">
        <f>'Dec 2022'!G43+'Jan 2023'!F43</f>
        <v>0</v>
      </c>
      <c r="H43" s="10">
        <f t="shared" si="0"/>
        <v>2655.1730000000002</v>
      </c>
      <c r="I43" s="10">
        <f>'Dec 2022'!N43</f>
        <v>0</v>
      </c>
      <c r="J43" s="10">
        <v>0</v>
      </c>
      <c r="K43" s="10">
        <f>'Dec 2022'!K43+'Jan 2023'!J43</f>
        <v>0</v>
      </c>
      <c r="L43" s="10">
        <v>0</v>
      </c>
      <c r="M43" s="10">
        <f>'Dec 2022'!M43+'Jan 2023'!L43</f>
        <v>0</v>
      </c>
      <c r="N43" s="10">
        <f t="shared" si="1"/>
        <v>0</v>
      </c>
      <c r="O43" s="11">
        <f>'Dec 2022'!T43</f>
        <v>146.49</v>
      </c>
      <c r="P43" s="10">
        <v>0</v>
      </c>
      <c r="Q43" s="10">
        <f>'Dec 2022'!Q43+'Jan 2023'!P43</f>
        <v>146.49</v>
      </c>
      <c r="R43" s="10">
        <v>0</v>
      </c>
      <c r="S43" s="10">
        <f>'Dec 2022'!S43+'Jan 2023'!R43</f>
        <v>0</v>
      </c>
      <c r="T43" s="11">
        <f t="shared" si="2"/>
        <v>146.49</v>
      </c>
      <c r="U43" s="11">
        <f t="shared" si="3"/>
        <v>2801.6630000000005</v>
      </c>
      <c r="V43" s="12"/>
      <c r="W43" s="12"/>
    </row>
    <row r="44" spans="1:23" s="17" customFormat="1" ht="42.75" customHeight="1">
      <c r="A44" s="14"/>
      <c r="B44" s="15" t="s">
        <v>50</v>
      </c>
      <c r="C44" s="16">
        <f>SUM(C40:C43)</f>
        <v>51078.280999999995</v>
      </c>
      <c r="D44" s="16">
        <f t="shared" ref="D44:U44" si="13">SUM(D40:D43)</f>
        <v>26.49</v>
      </c>
      <c r="E44" s="16">
        <f t="shared" si="13"/>
        <v>844.45999999999992</v>
      </c>
      <c r="F44" s="16">
        <f t="shared" si="13"/>
        <v>0</v>
      </c>
      <c r="G44" s="16">
        <f t="shared" si="13"/>
        <v>0.24</v>
      </c>
      <c r="H44" s="16">
        <f t="shared" si="13"/>
        <v>51104.771000000001</v>
      </c>
      <c r="I44" s="16">
        <f t="shared" si="13"/>
        <v>226.8</v>
      </c>
      <c r="J44" s="16">
        <f t="shared" si="13"/>
        <v>0</v>
      </c>
      <c r="K44" s="16">
        <f t="shared" si="13"/>
        <v>226.8</v>
      </c>
      <c r="L44" s="16">
        <f t="shared" si="13"/>
        <v>0</v>
      </c>
      <c r="M44" s="16">
        <f t="shared" si="13"/>
        <v>0</v>
      </c>
      <c r="N44" s="16">
        <f t="shared" si="13"/>
        <v>226.8</v>
      </c>
      <c r="O44" s="16">
        <f t="shared" si="13"/>
        <v>349.56000000000006</v>
      </c>
      <c r="P44" s="16">
        <f t="shared" si="13"/>
        <v>0</v>
      </c>
      <c r="Q44" s="16">
        <f t="shared" si="13"/>
        <v>349.56000000000006</v>
      </c>
      <c r="R44" s="16">
        <f t="shared" si="13"/>
        <v>0</v>
      </c>
      <c r="S44" s="16">
        <f t="shared" si="13"/>
        <v>0</v>
      </c>
      <c r="T44" s="16">
        <f t="shared" si="13"/>
        <v>349.56000000000006</v>
      </c>
      <c r="U44" s="16">
        <f t="shared" si="13"/>
        <v>51681.131000000001</v>
      </c>
      <c r="V44" s="108"/>
      <c r="W44" s="108"/>
    </row>
    <row r="45" spans="1:23" ht="42.75" customHeight="1">
      <c r="A45" s="8">
        <v>29</v>
      </c>
      <c r="B45" s="9" t="s">
        <v>51</v>
      </c>
      <c r="C45" s="10">
        <f>'Dec 2022'!H45</f>
        <v>14097.295</v>
      </c>
      <c r="D45" s="10">
        <v>17.809999999999999</v>
      </c>
      <c r="E45" s="10">
        <f>'Dec 2022'!E45+'Jan 2023'!D45</f>
        <v>161.05500000000001</v>
      </c>
      <c r="F45" s="10">
        <v>0</v>
      </c>
      <c r="G45" s="10">
        <f>'Dec 2022'!G45+'Jan 2023'!F45</f>
        <v>0</v>
      </c>
      <c r="H45" s="10">
        <f t="shared" si="0"/>
        <v>14115.105</v>
      </c>
      <c r="I45" s="10">
        <f>'Dec 2022'!N45</f>
        <v>6.67</v>
      </c>
      <c r="J45" s="10">
        <v>0</v>
      </c>
      <c r="K45" s="10">
        <f>'Dec 2022'!K45+'Jan 2023'!J45</f>
        <v>0.04</v>
      </c>
      <c r="L45" s="10">
        <v>0</v>
      </c>
      <c r="M45" s="10">
        <f>'Dec 2022'!M45+'Jan 2023'!L45</f>
        <v>0</v>
      </c>
      <c r="N45" s="10">
        <f t="shared" si="1"/>
        <v>6.67</v>
      </c>
      <c r="O45" s="11">
        <f>'Dec 2022'!T45</f>
        <v>105.87000000000002</v>
      </c>
      <c r="P45" s="10">
        <v>0</v>
      </c>
      <c r="Q45" s="10">
        <f>'Dec 2022'!Q45+'Jan 2023'!P45</f>
        <v>75.7</v>
      </c>
      <c r="R45" s="10">
        <v>0</v>
      </c>
      <c r="S45" s="10">
        <f>'Dec 2022'!S45+'Jan 2023'!R45</f>
        <v>0</v>
      </c>
      <c r="T45" s="11">
        <f t="shared" si="2"/>
        <v>105.87000000000002</v>
      </c>
      <c r="U45" s="11">
        <f t="shared" si="3"/>
        <v>14227.645</v>
      </c>
      <c r="V45" s="115"/>
      <c r="W45" s="12"/>
    </row>
    <row r="46" spans="1:23" ht="42.75" customHeight="1">
      <c r="A46" s="8">
        <v>30</v>
      </c>
      <c r="B46" s="9" t="s">
        <v>52</v>
      </c>
      <c r="C46" s="10">
        <f>'Dec 2022'!H46</f>
        <v>7334.0449999999983</v>
      </c>
      <c r="D46" s="10">
        <v>8.9499999999999993</v>
      </c>
      <c r="E46" s="10">
        <f>'Dec 2022'!E46+'Jan 2023'!D46</f>
        <v>77.635000000000005</v>
      </c>
      <c r="F46" s="10">
        <v>0.03</v>
      </c>
      <c r="G46" s="10">
        <f>'Dec 2022'!G46+'Jan 2023'!F46</f>
        <v>0.03</v>
      </c>
      <c r="H46" s="10">
        <f t="shared" si="0"/>
        <v>7342.9649999999983</v>
      </c>
      <c r="I46" s="10">
        <f>'Dec 2022'!N46</f>
        <v>0</v>
      </c>
      <c r="J46" s="10">
        <v>0</v>
      </c>
      <c r="K46" s="10">
        <f>'Dec 2022'!K46+'Jan 2023'!J46</f>
        <v>0</v>
      </c>
      <c r="L46" s="10">
        <v>0</v>
      </c>
      <c r="M46" s="10">
        <f>'Dec 2022'!M46+'Jan 2023'!L46</f>
        <v>0</v>
      </c>
      <c r="N46" s="10">
        <f t="shared" si="1"/>
        <v>0</v>
      </c>
      <c r="O46" s="11">
        <f>'Dec 2022'!T46</f>
        <v>7.5900000000000007</v>
      </c>
      <c r="P46" s="10">
        <v>0</v>
      </c>
      <c r="Q46" s="10">
        <f>'Dec 2022'!Q46+'Jan 2023'!P46</f>
        <v>0</v>
      </c>
      <c r="R46" s="10">
        <v>0</v>
      </c>
      <c r="S46" s="10">
        <f>'Dec 2022'!S46+'Jan 2023'!R46</f>
        <v>0.31</v>
      </c>
      <c r="T46" s="11">
        <f t="shared" si="2"/>
        <v>7.5900000000000007</v>
      </c>
      <c r="U46" s="11">
        <f t="shared" si="3"/>
        <v>7350.5549999999985</v>
      </c>
      <c r="V46" s="115"/>
      <c r="W46" s="12"/>
    </row>
    <row r="47" spans="1:23" ht="42.75" customHeight="1">
      <c r="A47" s="8">
        <v>31</v>
      </c>
      <c r="B47" s="9" t="s">
        <v>53</v>
      </c>
      <c r="C47" s="10">
        <f>'Dec 2022'!H47</f>
        <v>12303.730000000003</v>
      </c>
      <c r="D47" s="10">
        <v>0.04</v>
      </c>
      <c r="E47" s="10">
        <f>'Dec 2022'!E47+'Jan 2023'!D47</f>
        <v>10.509999999999998</v>
      </c>
      <c r="F47" s="10">
        <v>0</v>
      </c>
      <c r="G47" s="10">
        <f>'Dec 2022'!G47+'Jan 2023'!F47</f>
        <v>0</v>
      </c>
      <c r="H47" s="10">
        <f t="shared" si="0"/>
        <v>12303.770000000004</v>
      </c>
      <c r="I47" s="10">
        <f>'Dec 2022'!N47</f>
        <v>1.2999999999999998</v>
      </c>
      <c r="J47" s="10">
        <v>0</v>
      </c>
      <c r="K47" s="10">
        <f>'Dec 2022'!K47+'Jan 2023'!J47</f>
        <v>0</v>
      </c>
      <c r="L47" s="10">
        <v>0</v>
      </c>
      <c r="M47" s="10">
        <f>'Dec 2022'!M47+'Jan 2023'!L47</f>
        <v>0</v>
      </c>
      <c r="N47" s="10">
        <f t="shared" si="1"/>
        <v>1.2999999999999998</v>
      </c>
      <c r="O47" s="11">
        <f>'Dec 2022'!T47</f>
        <v>86.18</v>
      </c>
      <c r="P47" s="10">
        <v>0</v>
      </c>
      <c r="Q47" s="10">
        <f>'Dec 2022'!Q47+'Jan 2023'!P47</f>
        <v>0</v>
      </c>
      <c r="R47" s="10">
        <v>0</v>
      </c>
      <c r="S47" s="10">
        <f>'Dec 2022'!S47+'Jan 2023'!R47</f>
        <v>0.1</v>
      </c>
      <c r="T47" s="11">
        <f t="shared" si="2"/>
        <v>86.18</v>
      </c>
      <c r="U47" s="11">
        <f t="shared" si="3"/>
        <v>12391.250000000004</v>
      </c>
      <c r="V47" s="115"/>
      <c r="W47" s="12"/>
    </row>
    <row r="48" spans="1:23" ht="42.75" customHeight="1">
      <c r="A48" s="8">
        <v>32</v>
      </c>
      <c r="B48" s="9" t="s">
        <v>54</v>
      </c>
      <c r="C48" s="10">
        <f>'Dec 2022'!H48</f>
        <v>11105.552000000009</v>
      </c>
      <c r="D48" s="10">
        <v>1.01</v>
      </c>
      <c r="E48" s="10">
        <f>'Dec 2022'!E48+'Jan 2023'!D48</f>
        <v>16.37</v>
      </c>
      <c r="F48" s="10">
        <v>0</v>
      </c>
      <c r="G48" s="10">
        <f>'Dec 2022'!G48+'Jan 2023'!F48</f>
        <v>0</v>
      </c>
      <c r="H48" s="10">
        <f t="shared" si="0"/>
        <v>11106.562000000009</v>
      </c>
      <c r="I48" s="10">
        <f>'Dec 2022'!N48</f>
        <v>0</v>
      </c>
      <c r="J48" s="10">
        <v>0</v>
      </c>
      <c r="K48" s="10">
        <f>'Dec 2022'!K48+'Jan 2023'!J48</f>
        <v>0</v>
      </c>
      <c r="L48" s="10">
        <v>0</v>
      </c>
      <c r="M48" s="10">
        <f>'Dec 2022'!M48+'Jan 2023'!L48</f>
        <v>0</v>
      </c>
      <c r="N48" s="10">
        <f t="shared" si="1"/>
        <v>0</v>
      </c>
      <c r="O48" s="11">
        <f>'Dec 2022'!T48</f>
        <v>30.53</v>
      </c>
      <c r="P48" s="10">
        <v>0</v>
      </c>
      <c r="Q48" s="10">
        <f>'Dec 2022'!Q48+'Jan 2023'!P48</f>
        <v>0.53</v>
      </c>
      <c r="R48" s="10">
        <v>0</v>
      </c>
      <c r="S48" s="10">
        <f>'Dec 2022'!S48+'Jan 2023'!R48</f>
        <v>0</v>
      </c>
      <c r="T48" s="11">
        <f t="shared" si="2"/>
        <v>30.53</v>
      </c>
      <c r="U48" s="11">
        <f t="shared" si="3"/>
        <v>11137.09200000001</v>
      </c>
      <c r="V48" s="115"/>
      <c r="W48" s="12"/>
    </row>
    <row r="49" spans="1:23" s="17" customFormat="1" ht="42.75" customHeight="1">
      <c r="A49" s="14"/>
      <c r="B49" s="15" t="s">
        <v>55</v>
      </c>
      <c r="C49" s="16">
        <f>SUM(C45:C48)</f>
        <v>44840.62200000001</v>
      </c>
      <c r="D49" s="16">
        <f t="shared" ref="D49:U49" si="14">SUM(D45:D48)</f>
        <v>27.81</v>
      </c>
      <c r="E49" s="16">
        <f t="shared" si="14"/>
        <v>265.57</v>
      </c>
      <c r="F49" s="16">
        <f t="shared" si="14"/>
        <v>0.03</v>
      </c>
      <c r="G49" s="16">
        <f t="shared" si="14"/>
        <v>0.03</v>
      </c>
      <c r="H49" s="16">
        <f t="shared" si="14"/>
        <v>44868.402000000016</v>
      </c>
      <c r="I49" s="16">
        <f t="shared" si="14"/>
        <v>7.97</v>
      </c>
      <c r="J49" s="16">
        <f t="shared" si="14"/>
        <v>0</v>
      </c>
      <c r="K49" s="16">
        <f t="shared" si="14"/>
        <v>0.04</v>
      </c>
      <c r="L49" s="16">
        <f t="shared" si="14"/>
        <v>0</v>
      </c>
      <c r="M49" s="16">
        <f t="shared" si="14"/>
        <v>0</v>
      </c>
      <c r="N49" s="16">
        <f t="shared" si="14"/>
        <v>7.97</v>
      </c>
      <c r="O49" s="16">
        <f t="shared" si="14"/>
        <v>230.17000000000004</v>
      </c>
      <c r="P49" s="16">
        <f t="shared" si="14"/>
        <v>0</v>
      </c>
      <c r="Q49" s="16">
        <f t="shared" si="14"/>
        <v>76.23</v>
      </c>
      <c r="R49" s="16">
        <f t="shared" si="14"/>
        <v>0</v>
      </c>
      <c r="S49" s="16">
        <f t="shared" si="14"/>
        <v>0.41000000000000003</v>
      </c>
      <c r="T49" s="16">
        <f t="shared" si="14"/>
        <v>230.17000000000004</v>
      </c>
      <c r="U49" s="16">
        <f t="shared" si="14"/>
        <v>45106.542000000009</v>
      </c>
      <c r="V49" s="108"/>
      <c r="W49" s="108"/>
    </row>
    <row r="50" spans="1:23" s="17" customFormat="1" ht="42.75" customHeight="1">
      <c r="A50" s="14"/>
      <c r="B50" s="15" t="s">
        <v>56</v>
      </c>
      <c r="C50" s="16">
        <f>C49+C44</f>
        <v>95918.903000000006</v>
      </c>
      <c r="D50" s="16">
        <f t="shared" ref="D50:U50" si="15">D49+D44</f>
        <v>54.3</v>
      </c>
      <c r="E50" s="16">
        <f t="shared" si="15"/>
        <v>1110.03</v>
      </c>
      <c r="F50" s="16">
        <f t="shared" si="15"/>
        <v>0.03</v>
      </c>
      <c r="G50" s="16">
        <f t="shared" si="15"/>
        <v>0.27</v>
      </c>
      <c r="H50" s="16">
        <f t="shared" si="15"/>
        <v>95973.17300000001</v>
      </c>
      <c r="I50" s="16">
        <f t="shared" si="15"/>
        <v>234.77</v>
      </c>
      <c r="J50" s="16">
        <f t="shared" si="15"/>
        <v>0</v>
      </c>
      <c r="K50" s="16">
        <f t="shared" si="15"/>
        <v>226.84</v>
      </c>
      <c r="L50" s="16">
        <f t="shared" si="15"/>
        <v>0</v>
      </c>
      <c r="M50" s="16">
        <f t="shared" si="15"/>
        <v>0</v>
      </c>
      <c r="N50" s="16">
        <f t="shared" si="15"/>
        <v>234.77</v>
      </c>
      <c r="O50" s="16">
        <f t="shared" si="15"/>
        <v>579.73000000000013</v>
      </c>
      <c r="P50" s="16">
        <f t="shared" si="15"/>
        <v>0</v>
      </c>
      <c r="Q50" s="16">
        <f t="shared" si="15"/>
        <v>425.79000000000008</v>
      </c>
      <c r="R50" s="16">
        <f t="shared" si="15"/>
        <v>0</v>
      </c>
      <c r="S50" s="16">
        <f t="shared" si="15"/>
        <v>0.41000000000000003</v>
      </c>
      <c r="T50" s="16">
        <f t="shared" si="15"/>
        <v>579.73000000000013</v>
      </c>
      <c r="U50" s="16">
        <f t="shared" si="15"/>
        <v>96787.67300000001</v>
      </c>
      <c r="V50" s="108"/>
      <c r="W50" s="108"/>
    </row>
    <row r="51" spans="1:23" s="17" customFormat="1" ht="42.75" customHeight="1">
      <c r="A51" s="14"/>
      <c r="B51" s="15" t="s">
        <v>57</v>
      </c>
      <c r="C51" s="16">
        <f>C50+C39+C25</f>
        <v>173030.133</v>
      </c>
      <c r="D51" s="16">
        <f t="shared" ref="D51:U51" si="16">D50+D39+D25</f>
        <v>138.411</v>
      </c>
      <c r="E51" s="16">
        <f t="shared" si="16"/>
        <v>2170.614</v>
      </c>
      <c r="F51" s="16">
        <f t="shared" si="16"/>
        <v>204.76</v>
      </c>
      <c r="G51" s="16">
        <f t="shared" si="16"/>
        <v>1269.92</v>
      </c>
      <c r="H51" s="16">
        <f t="shared" si="16"/>
        <v>172963.78400000001</v>
      </c>
      <c r="I51" s="16">
        <f t="shared" si="16"/>
        <v>2816.6440000000002</v>
      </c>
      <c r="J51" s="16">
        <f t="shared" si="16"/>
        <v>15.923999999999999</v>
      </c>
      <c r="K51" s="16">
        <f t="shared" si="16"/>
        <v>787.97499999999991</v>
      </c>
      <c r="L51" s="16">
        <f t="shared" si="16"/>
        <v>2.77</v>
      </c>
      <c r="M51" s="16">
        <f t="shared" si="16"/>
        <v>5.26</v>
      </c>
      <c r="N51" s="16">
        <f t="shared" si="16"/>
        <v>2829.7980000000002</v>
      </c>
      <c r="O51" s="16">
        <f t="shared" si="16"/>
        <v>8692.3639999999996</v>
      </c>
      <c r="P51" s="16">
        <f t="shared" si="16"/>
        <v>487.97</v>
      </c>
      <c r="Q51" s="16">
        <f t="shared" si="16"/>
        <v>3670.7000000000003</v>
      </c>
      <c r="R51" s="16">
        <f t="shared" si="16"/>
        <v>0</v>
      </c>
      <c r="S51" s="16">
        <f t="shared" si="16"/>
        <v>144.46999999999997</v>
      </c>
      <c r="T51" s="16">
        <f t="shared" si="16"/>
        <v>9180.3340000000007</v>
      </c>
      <c r="U51" s="16">
        <f t="shared" si="16"/>
        <v>184973.91600000003</v>
      </c>
      <c r="V51" s="108"/>
      <c r="W51" s="108"/>
    </row>
    <row r="52" spans="1:23" s="23" customFormat="1" ht="42.75" hidden="1" customHeight="1">
      <c r="A52" s="19"/>
      <c r="B52" s="20"/>
      <c r="C52" s="10">
        <f>'Dec 2022'!H52</f>
        <v>0</v>
      </c>
      <c r="D52" s="21"/>
      <c r="E52" s="10">
        <f>'Dec 2022'!E52+'Jan 2023'!D52</f>
        <v>0</v>
      </c>
      <c r="F52" s="21"/>
      <c r="G52" s="10">
        <f>'Dec 2022'!G52+'Jan 2023'!F52</f>
        <v>0</v>
      </c>
      <c r="H52" s="10">
        <f t="shared" si="0"/>
        <v>0</v>
      </c>
      <c r="I52" s="10">
        <f>'Dec 2022'!N52</f>
        <v>0</v>
      </c>
      <c r="J52" s="21"/>
      <c r="K52" s="10">
        <f>'Dec 2022'!K52+'Jan 2023'!J52</f>
        <v>0</v>
      </c>
      <c r="L52" s="21"/>
      <c r="M52" s="10">
        <f>'Dec 2022'!M52+'Jan 2023'!L52</f>
        <v>0</v>
      </c>
      <c r="N52" s="21"/>
      <c r="O52" s="21"/>
      <c r="P52" s="21"/>
      <c r="Q52" s="10">
        <f>'Dec 2022'!Q52+'Jan 2023'!P52</f>
        <v>0</v>
      </c>
      <c r="R52" s="21"/>
      <c r="S52" s="10">
        <f>'Dec 2022'!S52+'Jan 2023'!R52</f>
        <v>0</v>
      </c>
      <c r="T52" s="21"/>
      <c r="U52" s="21"/>
      <c r="V52" s="21"/>
      <c r="W52" s="21"/>
    </row>
    <row r="53" spans="1:23" s="23" customFormat="1" hidden="1">
      <c r="A53" s="19"/>
      <c r="B53" s="20"/>
      <c r="C53" s="10">
        <f>'Dec 2022'!H53</f>
        <v>0</v>
      </c>
      <c r="D53" s="21"/>
      <c r="E53" s="10">
        <f>'Dec 2022'!E53+'Jan 2023'!D53</f>
        <v>0</v>
      </c>
      <c r="F53" s="21"/>
      <c r="G53" s="10">
        <f>'Dec 2022'!G53+'Jan 2023'!F53</f>
        <v>0</v>
      </c>
      <c r="H53" s="10">
        <f t="shared" si="0"/>
        <v>0</v>
      </c>
      <c r="I53" s="10">
        <f>'Dec 2022'!N53</f>
        <v>0</v>
      </c>
      <c r="J53" s="21"/>
      <c r="K53" s="10">
        <f>'Dec 2022'!K53+'Jan 2023'!J53</f>
        <v>0</v>
      </c>
      <c r="L53" s="21"/>
      <c r="M53" s="10">
        <f>'Dec 2022'!M53+'Jan 2023'!L53</f>
        <v>0</v>
      </c>
      <c r="N53" s="21"/>
      <c r="O53" s="21"/>
      <c r="P53" s="24"/>
      <c r="Q53" s="10">
        <f>'Dec 2022'!Q53+'Jan 2023'!P53</f>
        <v>0</v>
      </c>
      <c r="R53" s="21"/>
      <c r="S53" s="10">
        <f>'Dec 2022'!S53+'Jan 2023'!R53</f>
        <v>0</v>
      </c>
      <c r="T53" s="25"/>
      <c r="U53" s="21"/>
      <c r="V53" s="21"/>
      <c r="W53" s="21"/>
    </row>
    <row r="54" spans="1:23" s="23" customFormat="1">
      <c r="A54" s="19"/>
      <c r="B54" s="20"/>
      <c r="C54" s="21"/>
      <c r="D54" s="21"/>
      <c r="E54" s="22"/>
      <c r="F54" s="21"/>
      <c r="G54" s="21"/>
      <c r="H54" s="21"/>
      <c r="I54" s="24"/>
      <c r="J54" s="21"/>
      <c r="K54" s="22"/>
      <c r="L54" s="21"/>
      <c r="M54" s="24"/>
      <c r="N54" s="21" t="s">
        <v>66</v>
      </c>
      <c r="O54" s="21"/>
      <c r="P54" s="24"/>
      <c r="Q54" s="22"/>
      <c r="R54" s="21"/>
      <c r="S54" s="24"/>
      <c r="T54" s="25"/>
      <c r="U54" s="21"/>
      <c r="V54" s="21"/>
      <c r="W54" s="21"/>
    </row>
    <row r="55" spans="1:23" s="23" customFormat="1">
      <c r="A55" s="19"/>
      <c r="B55" s="20"/>
      <c r="C55" s="21"/>
      <c r="D55" s="21"/>
      <c r="E55" s="22"/>
      <c r="F55" s="21"/>
      <c r="G55" s="21"/>
      <c r="H55" s="21"/>
      <c r="I55" s="24"/>
      <c r="J55" s="21"/>
      <c r="K55" s="22"/>
      <c r="L55" s="21"/>
      <c r="M55" s="24"/>
      <c r="N55" s="21"/>
      <c r="O55" s="21"/>
      <c r="P55" s="24"/>
      <c r="Q55" s="22"/>
      <c r="R55" s="21"/>
      <c r="S55" s="24"/>
      <c r="T55" s="25"/>
      <c r="U55" s="21"/>
      <c r="V55" s="21"/>
      <c r="W55" s="21"/>
    </row>
    <row r="56" spans="1:23" s="17" customFormat="1" ht="57" customHeight="1">
      <c r="A56" s="26"/>
      <c r="B56" s="27"/>
      <c r="C56" s="28"/>
      <c r="D56" s="112" t="s">
        <v>58</v>
      </c>
      <c r="E56" s="112"/>
      <c r="F56" s="112"/>
      <c r="G56" s="112"/>
      <c r="H56" s="108">
        <f>D51+J51+P51-F51-L51-R51</f>
        <v>434.77500000000009</v>
      </c>
      <c r="I56" s="108"/>
      <c r="J56" s="108"/>
      <c r="K56" s="108"/>
      <c r="L56" s="108"/>
      <c r="M56" s="108"/>
      <c r="N56" s="108"/>
      <c r="O56" s="29"/>
      <c r="P56" s="108"/>
      <c r="Q56" s="108"/>
      <c r="R56" s="108"/>
      <c r="S56" s="108"/>
      <c r="T56" s="108"/>
      <c r="U56" s="109"/>
      <c r="V56" s="109"/>
      <c r="W56" s="109"/>
    </row>
    <row r="57" spans="1:23" s="17" customFormat="1" ht="66" customHeight="1">
      <c r="A57" s="26"/>
      <c r="B57" s="27"/>
      <c r="C57" s="108"/>
      <c r="D57" s="112" t="s">
        <v>59</v>
      </c>
      <c r="E57" s="112"/>
      <c r="F57" s="112"/>
      <c r="G57" s="112"/>
      <c r="H57" s="108">
        <f>E51+K51+Q51-G51-M51-S51</f>
        <v>5209.6390000000001</v>
      </c>
      <c r="I57" s="108"/>
      <c r="J57" s="108"/>
      <c r="K57" s="108"/>
      <c r="L57" s="108"/>
      <c r="M57" s="108"/>
      <c r="N57" s="108"/>
      <c r="O57" s="29"/>
      <c r="P57" s="108"/>
      <c r="Q57" s="108"/>
      <c r="R57" s="108"/>
      <c r="S57" s="108"/>
      <c r="T57" s="108"/>
      <c r="U57" s="109"/>
      <c r="V57" s="109"/>
      <c r="W57" s="109"/>
    </row>
    <row r="58" spans="1:23" ht="54" customHeight="1">
      <c r="C58" s="28"/>
      <c r="D58" s="112" t="s">
        <v>60</v>
      </c>
      <c r="E58" s="112"/>
      <c r="F58" s="112"/>
      <c r="G58" s="112"/>
      <c r="H58" s="108">
        <f>H51+N51+T51</f>
        <v>184973.91600000003</v>
      </c>
      <c r="I58" s="31"/>
      <c r="J58" s="31"/>
      <c r="K58" s="31"/>
      <c r="L58" s="32"/>
      <c r="M58" s="32"/>
      <c r="N58" s="45" t="e">
        <f>#REF!+'Jan 2023'!H56</f>
        <v>#REF!</v>
      </c>
      <c r="O58" s="12"/>
      <c r="P58" s="31"/>
      <c r="Q58" s="31"/>
      <c r="T58" s="41"/>
      <c r="U58" s="12"/>
      <c r="V58" s="12"/>
      <c r="W58" s="12"/>
    </row>
    <row r="59" spans="1:23" ht="42.75" customHeight="1">
      <c r="C59" s="109"/>
      <c r="D59" s="109"/>
      <c r="E59" s="1"/>
      <c r="H59" s="31"/>
      <c r="J59" s="33" t="e">
        <f>#REF!+'Jan 2023'!H56</f>
        <v>#REF!</v>
      </c>
      <c r="K59" s="31"/>
      <c r="L59" s="33" t="e">
        <f>#REF!+'Jan 2023'!H56</f>
        <v>#REF!</v>
      </c>
      <c r="M59" s="31"/>
      <c r="O59" s="12"/>
    </row>
    <row r="60" spans="1:23" s="17" customFormat="1" ht="78.75" customHeight="1">
      <c r="B60" s="114" t="s">
        <v>61</v>
      </c>
      <c r="C60" s="114"/>
      <c r="D60" s="114"/>
      <c r="E60" s="114"/>
      <c r="F60" s="114"/>
      <c r="H60" s="1"/>
      <c r="I60" s="34" t="e">
        <f>#REF!+'Jan 2023'!H56</f>
        <v>#REF!</v>
      </c>
      <c r="J60" s="1"/>
      <c r="K60" s="31"/>
      <c r="L60" s="31"/>
      <c r="M60" s="33">
        <f>'March 2022'!H58+'Jan 2023'!H56</f>
        <v>179775.35199999996</v>
      </c>
      <c r="Q60" s="114" t="s">
        <v>62</v>
      </c>
      <c r="R60" s="114"/>
      <c r="S60" s="114"/>
      <c r="T60" s="114"/>
      <c r="U60" s="114"/>
    </row>
    <row r="61" spans="1:23" s="17" customFormat="1" ht="45.75" customHeight="1">
      <c r="B61" s="114" t="s">
        <v>63</v>
      </c>
      <c r="C61" s="114"/>
      <c r="D61" s="114"/>
      <c r="E61" s="114"/>
      <c r="F61" s="114"/>
      <c r="G61" s="35"/>
      <c r="H61" s="36">
        <f>'[1]feb 2021'!H58+'Jan 2023'!H56</f>
        <v>177272.41800000001</v>
      </c>
      <c r="I61" s="35"/>
      <c r="J61" s="28"/>
      <c r="K61" s="31"/>
      <c r="L61" s="31"/>
      <c r="M61" s="31"/>
      <c r="Q61" s="114" t="s">
        <v>63</v>
      </c>
      <c r="R61" s="114"/>
      <c r="S61" s="114"/>
      <c r="T61" s="114"/>
      <c r="U61" s="114"/>
    </row>
    <row r="62" spans="1:23" s="17" customFormat="1">
      <c r="B62" s="27"/>
      <c r="F62" s="37"/>
      <c r="I62" s="35"/>
      <c r="J62" s="37"/>
      <c r="Q62" s="109"/>
      <c r="R62" s="109"/>
      <c r="S62" s="2"/>
      <c r="T62" s="109"/>
      <c r="U62" s="109"/>
      <c r="V62" s="109"/>
      <c r="W62" s="109"/>
    </row>
    <row r="63" spans="1:23" s="17" customFormat="1" ht="61.5" customHeight="1">
      <c r="B63" s="27"/>
      <c r="G63" s="36">
        <f>'[1]May 2020'!H56+'Jan 2023'!H56</f>
        <v>175165.736</v>
      </c>
      <c r="J63" s="113" t="s">
        <v>64</v>
      </c>
      <c r="K63" s="113"/>
      <c r="L63" s="113"/>
      <c r="O63" s="109"/>
      <c r="S63" s="37"/>
      <c r="U63" s="109"/>
      <c r="V63" s="109"/>
      <c r="W63" s="109"/>
    </row>
    <row r="64" spans="1:23" s="17" customFormat="1" ht="58.5" customHeight="1">
      <c r="B64" s="27"/>
      <c r="H64" s="1"/>
      <c r="J64" s="113" t="s">
        <v>65</v>
      </c>
      <c r="K64" s="113"/>
      <c r="L64" s="113"/>
      <c r="O64" s="109"/>
      <c r="S64" s="37"/>
      <c r="U64" s="109"/>
      <c r="V64" s="109"/>
      <c r="W64" s="109"/>
    </row>
    <row r="66" spans="2:23">
      <c r="G66" s="31"/>
      <c r="H66" s="33" t="e">
        <f>#REF!+'Jan 2023'!H56</f>
        <v>#REF!</v>
      </c>
    </row>
    <row r="67" spans="2:23">
      <c r="H67" s="31"/>
      <c r="J67" s="31"/>
    </row>
    <row r="69" spans="2:23">
      <c r="B69" s="3"/>
      <c r="G69" s="38"/>
      <c r="O69" s="3"/>
      <c r="U69" s="3"/>
      <c r="V69" s="3"/>
      <c r="W69" s="3"/>
    </row>
  </sheetData>
  <mergeCells count="31">
    <mergeCell ref="J63:L63"/>
    <mergeCell ref="J64:L64"/>
    <mergeCell ref="D56:G56"/>
    <mergeCell ref="D57:G57"/>
    <mergeCell ref="D58:G58"/>
    <mergeCell ref="B60:F60"/>
    <mergeCell ref="Q60:U60"/>
    <mergeCell ref="B61:F61"/>
    <mergeCell ref="Q61:U61"/>
    <mergeCell ref="P5:Q5"/>
    <mergeCell ref="R5:S5"/>
    <mergeCell ref="T5:T6"/>
    <mergeCell ref="U5:U6"/>
    <mergeCell ref="V26:V27"/>
    <mergeCell ref="V45:V48"/>
    <mergeCell ref="H5:H6"/>
    <mergeCell ref="I5:I6"/>
    <mergeCell ref="J5:K5"/>
    <mergeCell ref="L5:M5"/>
    <mergeCell ref="N5:N6"/>
    <mergeCell ref="O5:O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E14:P37"/>
  <sheetViews>
    <sheetView topLeftCell="A5" workbookViewId="0">
      <selection activeCell="O26" sqref="O26"/>
    </sheetView>
  </sheetViews>
  <sheetFormatPr defaultRowHeight="15"/>
  <cols>
    <col min="1" max="5" width="9.140625" style="54"/>
    <col min="6" max="6" width="24" style="54" customWidth="1"/>
    <col min="7" max="7" width="10.85546875" style="54" customWidth="1"/>
    <col min="8" max="9" width="9.5703125" style="54" bestFit="1" customWidth="1"/>
    <col min="10" max="16384" width="9.140625" style="54"/>
  </cols>
  <sheetData>
    <row r="14" spans="5:16" s="48" customFormat="1">
      <c r="F14" s="117" t="s">
        <v>69</v>
      </c>
      <c r="G14" s="117"/>
      <c r="H14" s="117"/>
      <c r="J14" s="117" t="s">
        <v>70</v>
      </c>
      <c r="K14" s="117"/>
      <c r="L14" s="117"/>
      <c r="N14" s="117" t="s">
        <v>71</v>
      </c>
      <c r="O14" s="117"/>
      <c r="P14" s="117"/>
    </row>
    <row r="15" spans="5:16" s="48" customFormat="1">
      <c r="F15" s="49" t="s">
        <v>72</v>
      </c>
      <c r="G15" s="50" t="s">
        <v>73</v>
      </c>
      <c r="H15" s="51">
        <f>'April 2022  '!C51</f>
        <v>172351.55</v>
      </c>
      <c r="L15" s="51">
        <f>'April 2022  '!I51</f>
        <v>2047.0830000000001</v>
      </c>
      <c r="P15" s="51">
        <f>'April 2022  '!O51</f>
        <v>4941.9440000000004</v>
      </c>
    </row>
    <row r="16" spans="5:16">
      <c r="E16" s="52">
        <v>44652</v>
      </c>
      <c r="F16" s="53">
        <f>'April 2022  '!D51</f>
        <v>202.01999999999998</v>
      </c>
      <c r="G16" s="53">
        <f>'April 2022  '!F51</f>
        <v>3.38</v>
      </c>
      <c r="H16" s="53">
        <f t="shared" ref="H16:H27" si="0">H15+F16-G16</f>
        <v>172550.18999999997</v>
      </c>
      <c r="J16" s="53">
        <f>'April 2022  '!J51</f>
        <v>11.168000000000001</v>
      </c>
      <c r="K16" s="53">
        <f>'April 2022  '!L51</f>
        <v>0</v>
      </c>
      <c r="L16" s="53">
        <f t="shared" ref="L16:L27" si="1">L15+J16-K16</f>
        <v>2058.2510000000002</v>
      </c>
      <c r="N16" s="53">
        <f>'April 2022  '!P51</f>
        <v>205.27999999999997</v>
      </c>
      <c r="O16" s="53">
        <f>'April 2022  '!R51</f>
        <v>73.03</v>
      </c>
      <c r="P16" s="53">
        <f t="shared" ref="P16:P27" si="2">P15+N16-O16</f>
        <v>5074.1940000000004</v>
      </c>
    </row>
    <row r="17" spans="5:16">
      <c r="E17" s="52">
        <v>44682</v>
      </c>
      <c r="F17" s="53">
        <f>'May 2022'!D51</f>
        <v>321.01499999999999</v>
      </c>
      <c r="G17" s="53">
        <f>'May 2022'!F51</f>
        <v>90.75</v>
      </c>
      <c r="H17" s="53">
        <f t="shared" si="0"/>
        <v>172780.45499999999</v>
      </c>
      <c r="J17" s="53">
        <f>'May 2022'!J51</f>
        <v>7.0340000000000007</v>
      </c>
      <c r="K17" s="53">
        <f>'May 2022'!L51</f>
        <v>0</v>
      </c>
      <c r="L17" s="53">
        <f t="shared" si="1"/>
        <v>2065.2850000000003</v>
      </c>
      <c r="N17" s="53">
        <f>'May 2022'!P51</f>
        <v>127.26</v>
      </c>
      <c r="O17" s="53">
        <f>'May 2022'!R51</f>
        <v>0.18</v>
      </c>
      <c r="P17" s="53">
        <f t="shared" si="2"/>
        <v>5201.2740000000003</v>
      </c>
    </row>
    <row r="18" spans="5:16">
      <c r="E18" s="52">
        <v>44713</v>
      </c>
      <c r="F18" s="53">
        <f>'June 2022'!D51</f>
        <v>249.98999999999998</v>
      </c>
      <c r="G18" s="53">
        <f>'June 2022'!F51</f>
        <v>255.75</v>
      </c>
      <c r="H18" s="53">
        <f t="shared" si="0"/>
        <v>172774.69499999998</v>
      </c>
      <c r="J18" s="53">
        <f>'June 2022'!J51</f>
        <v>142.38999999999996</v>
      </c>
      <c r="K18" s="53">
        <f>'June 2022'!L51</f>
        <v>0.99</v>
      </c>
      <c r="L18" s="53">
        <f t="shared" si="1"/>
        <v>2206.6850000000004</v>
      </c>
      <c r="N18" s="53">
        <f>'June 2022'!P51</f>
        <v>518.89</v>
      </c>
      <c r="O18" s="53">
        <f>'June 2022'!R51</f>
        <v>70.959999999999994</v>
      </c>
      <c r="P18" s="53">
        <f t="shared" si="2"/>
        <v>5649.2040000000006</v>
      </c>
    </row>
    <row r="19" spans="5:16">
      <c r="E19" s="52">
        <v>44743</v>
      </c>
      <c r="F19" s="53">
        <f>'July 2022'!D51</f>
        <v>200.65</v>
      </c>
      <c r="G19" s="53">
        <f>'July 2022'!F51</f>
        <v>66.989999999999995</v>
      </c>
      <c r="H19" s="53">
        <f t="shared" si="0"/>
        <v>172908.35499999998</v>
      </c>
      <c r="J19" s="53">
        <f>'July 2022'!J51</f>
        <v>92.81</v>
      </c>
      <c r="K19" s="53">
        <f>'July 2022'!L51</f>
        <v>0.76</v>
      </c>
      <c r="L19" s="53">
        <f t="shared" si="1"/>
        <v>2298.7350000000001</v>
      </c>
      <c r="N19" s="53">
        <f>'July 2022'!P51</f>
        <v>266.75</v>
      </c>
      <c r="O19" s="53">
        <f>'July 2022'!R51</f>
        <v>0</v>
      </c>
      <c r="P19" s="53">
        <f t="shared" si="2"/>
        <v>5915.9540000000006</v>
      </c>
    </row>
    <row r="20" spans="5:16">
      <c r="E20" s="52">
        <v>44774</v>
      </c>
      <c r="F20" s="53">
        <f>'aug 2022'!D51</f>
        <v>198.59499999999997</v>
      </c>
      <c r="G20" s="53">
        <f>'aug 2022'!F51</f>
        <v>0</v>
      </c>
      <c r="H20" s="53">
        <f t="shared" si="0"/>
        <v>173106.94999999998</v>
      </c>
      <c r="J20" s="53">
        <f>'aug 2022'!J51</f>
        <v>131.25099999999998</v>
      </c>
      <c r="K20" s="53">
        <f>'aug 2022'!L51</f>
        <v>0</v>
      </c>
      <c r="L20" s="53">
        <f t="shared" si="1"/>
        <v>2429.9859999999999</v>
      </c>
      <c r="N20" s="53">
        <f>'aug 2022'!P51</f>
        <v>121.49999999999999</v>
      </c>
      <c r="O20" s="53">
        <f>'aug 2022'!R51</f>
        <v>0</v>
      </c>
      <c r="P20" s="53">
        <f t="shared" si="2"/>
        <v>6037.4540000000006</v>
      </c>
    </row>
    <row r="21" spans="5:16">
      <c r="E21" s="52">
        <v>44805</v>
      </c>
      <c r="F21" s="53">
        <f>'sep 2022'!D51</f>
        <v>298.76</v>
      </c>
      <c r="G21" s="53">
        <f>'sep 2022'!F51</f>
        <v>493.75</v>
      </c>
      <c r="H21" s="53">
        <f t="shared" si="0"/>
        <v>172911.96</v>
      </c>
      <c r="J21" s="53">
        <f>'sep 2022'!J51</f>
        <v>142.816</v>
      </c>
      <c r="K21" s="53">
        <f>'sep 2022'!L51</f>
        <v>0.7</v>
      </c>
      <c r="L21" s="53">
        <f t="shared" si="1"/>
        <v>2572.1019999999999</v>
      </c>
      <c r="N21" s="53">
        <f>'sep 2022'!P51+83.4</f>
        <v>640.70000000000005</v>
      </c>
      <c r="O21" s="53">
        <f>'sep 2022'!R51</f>
        <v>0</v>
      </c>
      <c r="P21" s="53">
        <f t="shared" si="2"/>
        <v>6678.1540000000005</v>
      </c>
    </row>
    <row r="22" spans="5:16">
      <c r="E22" s="52">
        <v>44835</v>
      </c>
      <c r="F22" s="53">
        <f>'Oct 2022'!D51</f>
        <v>179.327</v>
      </c>
      <c r="G22" s="53">
        <f>'Oct 2022'!F51</f>
        <v>307.53000000000003</v>
      </c>
      <c r="H22" s="53">
        <f t="shared" si="0"/>
        <v>172783.75699999998</v>
      </c>
      <c r="J22" s="53">
        <f>'Oct 2022'!J51</f>
        <v>45.347999999999999</v>
      </c>
      <c r="K22" s="53">
        <f>'Oct 2022'!L51</f>
        <v>0</v>
      </c>
      <c r="L22" s="53">
        <f t="shared" si="1"/>
        <v>2617.4499999999998</v>
      </c>
      <c r="N22" s="53">
        <f>'Oct 2022'!P51</f>
        <v>557.78</v>
      </c>
      <c r="O22" s="53">
        <f>'Oct 2022'!R51</f>
        <v>0</v>
      </c>
      <c r="P22" s="53">
        <f t="shared" si="2"/>
        <v>7235.9340000000002</v>
      </c>
    </row>
    <row r="23" spans="5:16">
      <c r="E23" s="52">
        <v>44866</v>
      </c>
      <c r="F23" s="53">
        <f>'Nov 2022'!D51</f>
        <v>110.6</v>
      </c>
      <c r="G23" s="53">
        <f>'Nov 2022'!F51</f>
        <v>340.76</v>
      </c>
      <c r="H23" s="53">
        <f t="shared" si="0"/>
        <v>172553.59699999998</v>
      </c>
      <c r="J23" s="53">
        <f>'Nov 2022'!J51</f>
        <v>173.72200000000001</v>
      </c>
      <c r="K23" s="53">
        <f>'Nov 2022'!L51</f>
        <v>0.04</v>
      </c>
      <c r="L23" s="53">
        <f t="shared" si="1"/>
        <v>2791.1320000000001</v>
      </c>
      <c r="N23" s="53">
        <f>'Nov 2022'!P51</f>
        <v>591.65000000000009</v>
      </c>
      <c r="O23" s="53">
        <f>'Nov 2022'!R51</f>
        <v>0.3</v>
      </c>
      <c r="P23" s="53">
        <f t="shared" si="2"/>
        <v>7827.2840000000006</v>
      </c>
    </row>
    <row r="24" spans="5:16">
      <c r="E24" s="52">
        <v>44896</v>
      </c>
      <c r="F24" s="53">
        <f>'Dec 2022'!D51</f>
        <v>271.166</v>
      </c>
      <c r="G24" s="53">
        <f>'Dec 2022'!F51</f>
        <v>0</v>
      </c>
      <c r="H24" s="53">
        <f t="shared" si="0"/>
        <v>172824.76299999998</v>
      </c>
      <c r="J24" s="53">
        <f>'Dec 2022'!J51</f>
        <v>25.512</v>
      </c>
      <c r="K24" s="53">
        <f>'Dec 2022'!L51</f>
        <v>0</v>
      </c>
      <c r="L24" s="53">
        <f t="shared" si="1"/>
        <v>2816.6440000000002</v>
      </c>
      <c r="N24" s="53">
        <f>'Dec 2022'!P51</f>
        <v>236.32</v>
      </c>
      <c r="O24" s="53">
        <f>'Dec 2022'!R51</f>
        <v>0</v>
      </c>
      <c r="P24" s="53">
        <f t="shared" si="2"/>
        <v>8063.6040000000003</v>
      </c>
    </row>
    <row r="25" spans="5:16">
      <c r="E25" s="52">
        <v>44927</v>
      </c>
      <c r="F25" s="53"/>
      <c r="G25" s="53"/>
      <c r="H25" s="53">
        <f t="shared" si="0"/>
        <v>172824.76299999998</v>
      </c>
      <c r="J25" s="53"/>
      <c r="K25" s="53"/>
      <c r="L25" s="53">
        <f t="shared" si="1"/>
        <v>2816.6440000000002</v>
      </c>
      <c r="N25" s="53"/>
      <c r="O25" s="53"/>
      <c r="P25" s="53">
        <f t="shared" si="2"/>
        <v>8063.6040000000003</v>
      </c>
    </row>
    <row r="26" spans="5:16">
      <c r="E26" s="52">
        <v>44958</v>
      </c>
      <c r="F26" s="53"/>
      <c r="G26" s="53"/>
      <c r="H26" s="53">
        <f t="shared" si="0"/>
        <v>172824.76299999998</v>
      </c>
      <c r="J26" s="53"/>
      <c r="K26" s="53"/>
      <c r="L26" s="53">
        <f t="shared" si="1"/>
        <v>2816.6440000000002</v>
      </c>
      <c r="N26" s="53"/>
      <c r="O26" s="53"/>
      <c r="P26" s="53">
        <f t="shared" si="2"/>
        <v>8063.6040000000003</v>
      </c>
    </row>
    <row r="27" spans="5:16">
      <c r="E27" s="52">
        <v>44986</v>
      </c>
      <c r="F27" s="53"/>
      <c r="G27" s="53"/>
      <c r="H27" s="53">
        <f t="shared" si="0"/>
        <v>172824.76299999998</v>
      </c>
      <c r="J27" s="53"/>
      <c r="K27" s="53"/>
      <c r="L27" s="53">
        <f t="shared" si="1"/>
        <v>2816.6440000000002</v>
      </c>
      <c r="N27" s="53"/>
      <c r="O27" s="53"/>
      <c r="P27" s="53">
        <f t="shared" si="2"/>
        <v>8063.6040000000003</v>
      </c>
    </row>
    <row r="28" spans="5:16">
      <c r="F28" s="53">
        <f>SUM(F16:F27)</f>
        <v>2032.1229999999998</v>
      </c>
      <c r="G28" s="53">
        <f>SUM(G16:G27)</f>
        <v>1558.91</v>
      </c>
      <c r="J28" s="53">
        <f>SUM(J16:J27)</f>
        <v>772.05099999999993</v>
      </c>
      <c r="K28" s="53">
        <f>SUM(K16:K27)</f>
        <v>2.4900000000000002</v>
      </c>
      <c r="N28" s="53">
        <f>SUM(N16:N27)</f>
        <v>3266.13</v>
      </c>
      <c r="O28" s="53">
        <f>SUM(O16:O27)</f>
        <v>144.47000000000003</v>
      </c>
    </row>
    <row r="32" spans="5:16">
      <c r="F32" s="53">
        <f>F28+J28+N28</f>
        <v>6070.3040000000001</v>
      </c>
      <c r="G32" s="53">
        <f>G28+K28+O28</f>
        <v>1705.8700000000001</v>
      </c>
      <c r="H32" s="53">
        <f>H15+F28-G28</f>
        <v>172824.76299999998</v>
      </c>
      <c r="L32" s="53">
        <f>L15+J28-K28</f>
        <v>2816.6440000000002</v>
      </c>
      <c r="P32" s="53">
        <f>P15+N28-O28</f>
        <v>8063.6040000000003</v>
      </c>
    </row>
    <row r="37" spans="6:8">
      <c r="F37" s="53">
        <f>H15+L15+P15+F32-G28-K28</f>
        <v>183849.481</v>
      </c>
      <c r="H37" s="86">
        <f>H32+L32+P32</f>
        <v>183705.01099999997</v>
      </c>
    </row>
  </sheetData>
  <mergeCells count="3">
    <mergeCell ref="F14:H14"/>
    <mergeCell ref="J14:L14"/>
    <mergeCell ref="N14:P14"/>
  </mergeCells>
  <pageMargins left="0.7" right="0.7" top="0.75" bottom="0.75" header="0.3" footer="0.3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9"/>
  <sheetViews>
    <sheetView topLeftCell="A40" zoomScale="36" zoomScaleNormal="36" zoomScaleSheetLayoutView="25" workbookViewId="0">
      <selection activeCell="B60" sqref="B60:F60"/>
    </sheetView>
  </sheetViews>
  <sheetFormatPr defaultRowHeight="33"/>
  <cols>
    <col min="1" max="1" width="16.7109375" style="3" customWidth="1"/>
    <col min="2" max="2" width="45.5703125" style="30" customWidth="1"/>
    <col min="3" max="3" width="36.5703125" style="3" customWidth="1"/>
    <col min="4" max="4" width="28.140625" style="3" customWidth="1"/>
    <col min="5" max="5" width="40.28515625" style="3" customWidth="1"/>
    <col min="6" max="6" width="32.42578125" style="3" customWidth="1"/>
    <col min="7" max="7" width="28.140625" style="3" customWidth="1"/>
    <col min="8" max="8" width="41.85546875" style="3" customWidth="1"/>
    <col min="9" max="9" width="29.5703125" style="3" customWidth="1"/>
    <col min="10" max="10" width="39.42578125" style="3" customWidth="1"/>
    <col min="11" max="11" width="28.140625" style="3" customWidth="1"/>
    <col min="12" max="12" width="36.7109375" style="3" customWidth="1"/>
    <col min="13" max="13" width="30.140625" style="3" customWidth="1"/>
    <col min="14" max="14" width="28.140625" style="3" customWidth="1"/>
    <col min="15" max="15" width="47.28515625" style="5" customWidth="1"/>
    <col min="16" max="16" width="32.7109375" style="3" customWidth="1"/>
    <col min="17" max="17" width="34.5703125" style="3" customWidth="1"/>
    <col min="18" max="18" width="36" style="3" customWidth="1"/>
    <col min="19" max="19" width="28.140625" style="6" customWidth="1"/>
    <col min="20" max="20" width="28.140625" style="3" customWidth="1"/>
    <col min="21" max="21" width="36.7109375" style="5" customWidth="1"/>
    <col min="22" max="23" width="26" style="5" customWidth="1"/>
    <col min="24" max="16384" width="9.140625" style="3"/>
  </cols>
  <sheetData>
    <row r="1" spans="1:183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2"/>
      <c r="W1" s="2"/>
    </row>
    <row r="2" spans="1:183" ht="7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2"/>
      <c r="W2" s="2"/>
    </row>
    <row r="3" spans="1:183" ht="35.25" customHeight="1">
      <c r="A3" s="110" t="s">
        <v>75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2"/>
      <c r="W3" s="2"/>
    </row>
    <row r="4" spans="1:183" s="6" customFormat="1" ht="32.25" customHeight="1">
      <c r="A4" s="110" t="s">
        <v>1</v>
      </c>
      <c r="B4" s="110" t="s">
        <v>2</v>
      </c>
      <c r="C4" s="110" t="s">
        <v>3</v>
      </c>
      <c r="D4" s="110"/>
      <c r="E4" s="110"/>
      <c r="F4" s="110"/>
      <c r="G4" s="110"/>
      <c r="H4" s="110"/>
      <c r="I4" s="110" t="s">
        <v>4</v>
      </c>
      <c r="J4" s="111"/>
      <c r="K4" s="111"/>
      <c r="L4" s="111"/>
      <c r="M4" s="111"/>
      <c r="N4" s="111"/>
      <c r="O4" s="110" t="s">
        <v>5</v>
      </c>
      <c r="P4" s="111"/>
      <c r="Q4" s="111"/>
      <c r="R4" s="111"/>
      <c r="S4" s="111"/>
      <c r="T4" s="111"/>
      <c r="U4" s="4"/>
      <c r="V4" s="5"/>
      <c r="W4" s="5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</row>
    <row r="5" spans="1:183" s="6" customFormat="1" ht="41.25" customHeight="1">
      <c r="A5" s="110"/>
      <c r="B5" s="110"/>
      <c r="C5" s="110" t="s">
        <v>6</v>
      </c>
      <c r="D5" s="110" t="s">
        <v>7</v>
      </c>
      <c r="E5" s="110"/>
      <c r="F5" s="110" t="s">
        <v>8</v>
      </c>
      <c r="G5" s="110"/>
      <c r="H5" s="110" t="s">
        <v>9</v>
      </c>
      <c r="I5" s="110" t="s">
        <v>6</v>
      </c>
      <c r="J5" s="110" t="s">
        <v>7</v>
      </c>
      <c r="K5" s="110"/>
      <c r="L5" s="110" t="s">
        <v>8</v>
      </c>
      <c r="M5" s="110"/>
      <c r="N5" s="110" t="s">
        <v>9</v>
      </c>
      <c r="O5" s="110" t="s">
        <v>10</v>
      </c>
      <c r="P5" s="110" t="s">
        <v>7</v>
      </c>
      <c r="Q5" s="110"/>
      <c r="R5" s="110" t="s">
        <v>8</v>
      </c>
      <c r="S5" s="110"/>
      <c r="T5" s="110" t="s">
        <v>9</v>
      </c>
      <c r="U5" s="110" t="s">
        <v>11</v>
      </c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s="6" customFormat="1" ht="60" customHeight="1">
      <c r="A6" s="110"/>
      <c r="B6" s="110"/>
      <c r="C6" s="110"/>
      <c r="D6" s="57" t="s">
        <v>12</v>
      </c>
      <c r="E6" s="57" t="s">
        <v>13</v>
      </c>
      <c r="F6" s="57" t="s">
        <v>12</v>
      </c>
      <c r="G6" s="57" t="s">
        <v>13</v>
      </c>
      <c r="H6" s="110"/>
      <c r="I6" s="110"/>
      <c r="J6" s="7" t="s">
        <v>12</v>
      </c>
      <c r="K6" s="57" t="s">
        <v>13</v>
      </c>
      <c r="L6" s="57" t="s">
        <v>12</v>
      </c>
      <c r="M6" s="57" t="s">
        <v>13</v>
      </c>
      <c r="N6" s="110"/>
      <c r="O6" s="110"/>
      <c r="P6" s="57" t="s">
        <v>12</v>
      </c>
      <c r="Q6" s="57" t="s">
        <v>13</v>
      </c>
      <c r="R6" s="57" t="s">
        <v>12</v>
      </c>
      <c r="S6" s="57" t="s">
        <v>13</v>
      </c>
      <c r="T6" s="110"/>
      <c r="U6" s="110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</row>
    <row r="7" spans="1:183" ht="42.75" customHeight="1">
      <c r="A7" s="8">
        <v>1</v>
      </c>
      <c r="B7" s="9" t="s">
        <v>14</v>
      </c>
      <c r="C7" s="10">
        <f>'March 2022'!H7</f>
        <v>161.04000000000065</v>
      </c>
      <c r="D7" s="10">
        <v>0</v>
      </c>
      <c r="E7" s="10">
        <f>D7</f>
        <v>0</v>
      </c>
      <c r="F7" s="10">
        <v>0</v>
      </c>
      <c r="G7" s="10">
        <f>F7</f>
        <v>0</v>
      </c>
      <c r="H7" s="10">
        <f>C7+D7-F7</f>
        <v>161.04000000000065</v>
      </c>
      <c r="I7" s="10">
        <f>'March 2022'!N7</f>
        <v>130.80499999999995</v>
      </c>
      <c r="J7" s="10">
        <v>0.16</v>
      </c>
      <c r="K7" s="10">
        <f>J7</f>
        <v>0.16</v>
      </c>
      <c r="L7" s="10">
        <v>0</v>
      </c>
      <c r="M7" s="10">
        <f>L7</f>
        <v>0</v>
      </c>
      <c r="N7" s="10">
        <f>I7+J7-L7</f>
        <v>130.96499999999995</v>
      </c>
      <c r="O7" s="11">
        <f>'March 2022'!T7</f>
        <v>283.68000000000012</v>
      </c>
      <c r="P7" s="10">
        <v>0.46</v>
      </c>
      <c r="Q7" s="10">
        <f>P7</f>
        <v>0.46</v>
      </c>
      <c r="R7" s="10">
        <v>0</v>
      </c>
      <c r="S7" s="10">
        <f>R7</f>
        <v>0</v>
      </c>
      <c r="T7" s="11">
        <f>O7+P7-R7</f>
        <v>284.1400000000001</v>
      </c>
      <c r="U7" s="11">
        <f>H7+N7+T7</f>
        <v>576.14500000000066</v>
      </c>
      <c r="V7" s="12"/>
      <c r="W7" s="12"/>
    </row>
    <row r="8" spans="1:183" ht="42.75" customHeight="1">
      <c r="A8" s="8">
        <v>2</v>
      </c>
      <c r="B8" s="9" t="s">
        <v>15</v>
      </c>
      <c r="C8" s="10">
        <f>'March 2022'!H8</f>
        <v>497.47500000000002</v>
      </c>
      <c r="D8" s="10">
        <v>0</v>
      </c>
      <c r="E8" s="10">
        <f t="shared" ref="E8:E53" si="0">D8</f>
        <v>0</v>
      </c>
      <c r="F8" s="10">
        <v>0</v>
      </c>
      <c r="G8" s="10">
        <f t="shared" ref="G8:G53" si="1">F8</f>
        <v>0</v>
      </c>
      <c r="H8" s="10">
        <f t="shared" ref="H8:H48" si="2">C8+D8-F8</f>
        <v>497.47500000000002</v>
      </c>
      <c r="I8" s="10">
        <f>'March 2022'!N8</f>
        <v>120.03</v>
      </c>
      <c r="J8" s="10">
        <v>0.878</v>
      </c>
      <c r="K8" s="10">
        <f t="shared" ref="K8:K53" si="3">J8</f>
        <v>0.878</v>
      </c>
      <c r="L8" s="10">
        <v>0</v>
      </c>
      <c r="M8" s="10">
        <f t="shared" ref="M8:M53" si="4">L8</f>
        <v>0</v>
      </c>
      <c r="N8" s="10">
        <f t="shared" ref="N8:N48" si="5">I8+J8-L8</f>
        <v>120.908</v>
      </c>
      <c r="O8" s="11">
        <f>'March 2022'!T8</f>
        <v>187.64000000000004</v>
      </c>
      <c r="P8" s="10">
        <v>17.309999999999999</v>
      </c>
      <c r="Q8" s="10">
        <f t="shared" ref="Q8:Q53" si="6">P8</f>
        <v>17.309999999999999</v>
      </c>
      <c r="R8" s="10">
        <v>0</v>
      </c>
      <c r="S8" s="10">
        <f t="shared" ref="S8:S53" si="7">R8</f>
        <v>0</v>
      </c>
      <c r="T8" s="11">
        <f t="shared" ref="T8:T48" si="8">O8+P8-R8</f>
        <v>204.95000000000005</v>
      </c>
      <c r="U8" s="11">
        <f t="shared" ref="U8:U48" si="9">H8+N8+T8</f>
        <v>823.33300000000008</v>
      </c>
      <c r="V8" s="12"/>
      <c r="W8" s="12"/>
    </row>
    <row r="9" spans="1:183" ht="42.75" customHeight="1">
      <c r="A9" s="8">
        <v>3</v>
      </c>
      <c r="B9" s="9" t="s">
        <v>16</v>
      </c>
      <c r="C9" s="10">
        <f>'March 2022'!H9</f>
        <v>743.9599999999997</v>
      </c>
      <c r="D9" s="10">
        <v>0</v>
      </c>
      <c r="E9" s="10">
        <f t="shared" si="0"/>
        <v>0</v>
      </c>
      <c r="F9" s="10">
        <v>0</v>
      </c>
      <c r="G9" s="10">
        <f t="shared" si="1"/>
        <v>0</v>
      </c>
      <c r="H9" s="10">
        <f t="shared" si="2"/>
        <v>743.9599999999997</v>
      </c>
      <c r="I9" s="10">
        <f>'March 2022'!N9</f>
        <v>197.33300000000006</v>
      </c>
      <c r="J9" s="10">
        <v>0.88</v>
      </c>
      <c r="K9" s="10">
        <f t="shared" si="3"/>
        <v>0.88</v>
      </c>
      <c r="L9" s="10">
        <v>0</v>
      </c>
      <c r="M9" s="10">
        <f t="shared" si="4"/>
        <v>0</v>
      </c>
      <c r="N9" s="10">
        <f t="shared" si="5"/>
        <v>198.21300000000005</v>
      </c>
      <c r="O9" s="11">
        <f>'March 2022'!T9</f>
        <v>141.44</v>
      </c>
      <c r="P9" s="10">
        <v>16.2</v>
      </c>
      <c r="Q9" s="10">
        <f t="shared" si="6"/>
        <v>16.2</v>
      </c>
      <c r="R9" s="10">
        <v>0</v>
      </c>
      <c r="S9" s="10">
        <f t="shared" si="7"/>
        <v>0</v>
      </c>
      <c r="T9" s="11">
        <f t="shared" si="8"/>
        <v>157.63999999999999</v>
      </c>
      <c r="U9" s="11">
        <f t="shared" si="9"/>
        <v>1099.8129999999996</v>
      </c>
      <c r="V9" s="12"/>
      <c r="W9" s="12"/>
    </row>
    <row r="10" spans="1:183" ht="42.75" customHeight="1">
      <c r="A10" s="8">
        <v>4</v>
      </c>
      <c r="B10" s="13" t="s">
        <v>17</v>
      </c>
      <c r="C10" s="10">
        <f>'March 2022'!H10</f>
        <v>0</v>
      </c>
      <c r="D10" s="10">
        <v>0</v>
      </c>
      <c r="E10" s="10">
        <f t="shared" si="0"/>
        <v>0</v>
      </c>
      <c r="F10" s="10">
        <v>0</v>
      </c>
      <c r="G10" s="10">
        <f t="shared" si="1"/>
        <v>0</v>
      </c>
      <c r="H10" s="10">
        <f t="shared" si="2"/>
        <v>0</v>
      </c>
      <c r="I10" s="10">
        <f>'March 2022'!N10</f>
        <v>142.03400000000008</v>
      </c>
      <c r="J10" s="10">
        <v>7.0000000000000007E-2</v>
      </c>
      <c r="K10" s="10">
        <f t="shared" si="3"/>
        <v>7.0000000000000007E-2</v>
      </c>
      <c r="L10" s="10">
        <v>0</v>
      </c>
      <c r="M10" s="10">
        <f t="shared" si="4"/>
        <v>0</v>
      </c>
      <c r="N10" s="10">
        <f t="shared" si="5"/>
        <v>142.10400000000007</v>
      </c>
      <c r="O10" s="11">
        <f>'March 2022'!T10</f>
        <v>233.16999999999996</v>
      </c>
      <c r="P10" s="10">
        <v>0</v>
      </c>
      <c r="Q10" s="10">
        <f t="shared" si="6"/>
        <v>0</v>
      </c>
      <c r="R10" s="10">
        <v>0</v>
      </c>
      <c r="S10" s="10">
        <f t="shared" si="7"/>
        <v>0</v>
      </c>
      <c r="T10" s="11">
        <f t="shared" si="8"/>
        <v>233.16999999999996</v>
      </c>
      <c r="U10" s="11">
        <f t="shared" si="9"/>
        <v>375.274</v>
      </c>
      <c r="V10" s="12"/>
      <c r="W10" s="12"/>
    </row>
    <row r="11" spans="1:183" s="17" customFormat="1" ht="42.75" customHeight="1">
      <c r="A11" s="14"/>
      <c r="B11" s="15" t="s">
        <v>18</v>
      </c>
      <c r="C11" s="16">
        <f>SUM(C7:C10)</f>
        <v>1402.4750000000004</v>
      </c>
      <c r="D11" s="16">
        <f t="shared" ref="D11:U11" si="10">SUM(D7:D10)</f>
        <v>0</v>
      </c>
      <c r="E11" s="16">
        <f t="shared" si="10"/>
        <v>0</v>
      </c>
      <c r="F11" s="16">
        <f t="shared" si="10"/>
        <v>0</v>
      </c>
      <c r="G11" s="16">
        <f t="shared" si="10"/>
        <v>0</v>
      </c>
      <c r="H11" s="16">
        <f t="shared" si="10"/>
        <v>1402.4750000000004</v>
      </c>
      <c r="I11" s="16">
        <f t="shared" si="10"/>
        <v>590.20200000000011</v>
      </c>
      <c r="J11" s="16">
        <f t="shared" si="10"/>
        <v>1.9880000000000002</v>
      </c>
      <c r="K11" s="16">
        <f t="shared" si="10"/>
        <v>1.9880000000000002</v>
      </c>
      <c r="L11" s="16">
        <f t="shared" si="10"/>
        <v>0</v>
      </c>
      <c r="M11" s="16">
        <f t="shared" si="10"/>
        <v>0</v>
      </c>
      <c r="N11" s="16">
        <f t="shared" si="10"/>
        <v>592.19000000000005</v>
      </c>
      <c r="O11" s="16">
        <f t="shared" si="10"/>
        <v>845.93000000000018</v>
      </c>
      <c r="P11" s="16">
        <f t="shared" si="10"/>
        <v>33.97</v>
      </c>
      <c r="Q11" s="16">
        <f t="shared" si="10"/>
        <v>33.97</v>
      </c>
      <c r="R11" s="16">
        <f t="shared" si="10"/>
        <v>0</v>
      </c>
      <c r="S11" s="16">
        <f t="shared" si="10"/>
        <v>0</v>
      </c>
      <c r="T11" s="16">
        <f t="shared" si="10"/>
        <v>879.90000000000009</v>
      </c>
      <c r="U11" s="16">
        <f t="shared" si="10"/>
        <v>2874.5650000000001</v>
      </c>
      <c r="V11" s="55"/>
      <c r="W11" s="55"/>
    </row>
    <row r="12" spans="1:183" ht="42.75" customHeight="1">
      <c r="A12" s="8">
        <v>5</v>
      </c>
      <c r="B12" s="9" t="s">
        <v>19</v>
      </c>
      <c r="C12" s="10">
        <f>'March 2022'!H12</f>
        <v>1653.4899999999991</v>
      </c>
      <c r="D12" s="10">
        <v>0</v>
      </c>
      <c r="E12" s="10">
        <f t="shared" si="0"/>
        <v>0</v>
      </c>
      <c r="F12" s="10">
        <v>0</v>
      </c>
      <c r="G12" s="10">
        <f t="shared" si="1"/>
        <v>0</v>
      </c>
      <c r="H12" s="10">
        <f t="shared" si="2"/>
        <v>1653.4899999999991</v>
      </c>
      <c r="I12" s="10">
        <f>'March 2022'!N12</f>
        <v>121.63300000000001</v>
      </c>
      <c r="J12" s="10">
        <v>0.06</v>
      </c>
      <c r="K12" s="10">
        <f t="shared" si="3"/>
        <v>0.06</v>
      </c>
      <c r="L12" s="10">
        <v>0</v>
      </c>
      <c r="M12" s="10">
        <f t="shared" si="4"/>
        <v>0</v>
      </c>
      <c r="N12" s="10">
        <f t="shared" si="5"/>
        <v>121.69300000000001</v>
      </c>
      <c r="O12" s="11">
        <f>'March 2022'!T12</f>
        <v>578.91</v>
      </c>
      <c r="P12" s="10">
        <v>31.49</v>
      </c>
      <c r="Q12" s="10">
        <f t="shared" si="6"/>
        <v>31.49</v>
      </c>
      <c r="R12" s="10">
        <v>0</v>
      </c>
      <c r="S12" s="10">
        <f t="shared" si="7"/>
        <v>0</v>
      </c>
      <c r="T12" s="11">
        <f t="shared" si="8"/>
        <v>610.4</v>
      </c>
      <c r="U12" s="11">
        <f t="shared" si="9"/>
        <v>2385.5829999999992</v>
      </c>
      <c r="V12" s="12"/>
      <c r="W12" s="12"/>
    </row>
    <row r="13" spans="1:183" ht="42.75" customHeight="1">
      <c r="A13" s="8">
        <v>6</v>
      </c>
      <c r="B13" s="9" t="s">
        <v>20</v>
      </c>
      <c r="C13" s="10">
        <f>'March 2022'!H13</f>
        <v>1023.7699999999998</v>
      </c>
      <c r="D13" s="10">
        <v>0</v>
      </c>
      <c r="E13" s="10">
        <f t="shared" si="0"/>
        <v>0</v>
      </c>
      <c r="F13" s="10">
        <v>0</v>
      </c>
      <c r="G13" s="10">
        <f t="shared" si="1"/>
        <v>0</v>
      </c>
      <c r="H13" s="10">
        <f t="shared" si="2"/>
        <v>1023.7699999999998</v>
      </c>
      <c r="I13" s="10">
        <f>'March 2022'!N13</f>
        <v>148.31400000000008</v>
      </c>
      <c r="J13" s="10">
        <v>0.52</v>
      </c>
      <c r="K13" s="10">
        <f t="shared" si="3"/>
        <v>0.52</v>
      </c>
      <c r="L13" s="10">
        <v>0</v>
      </c>
      <c r="M13" s="10">
        <f t="shared" si="4"/>
        <v>0</v>
      </c>
      <c r="N13" s="10">
        <f t="shared" si="5"/>
        <v>148.83400000000009</v>
      </c>
      <c r="O13" s="11">
        <f>'March 2022'!T13</f>
        <v>86.53</v>
      </c>
      <c r="P13" s="10">
        <v>0.67</v>
      </c>
      <c r="Q13" s="10">
        <f t="shared" si="6"/>
        <v>0.67</v>
      </c>
      <c r="R13" s="10">
        <v>0</v>
      </c>
      <c r="S13" s="10">
        <f t="shared" si="7"/>
        <v>0</v>
      </c>
      <c r="T13" s="11">
        <f t="shared" si="8"/>
        <v>87.2</v>
      </c>
      <c r="U13" s="11">
        <f t="shared" si="9"/>
        <v>1259.8039999999999</v>
      </c>
      <c r="V13" s="12"/>
      <c r="W13" s="12"/>
    </row>
    <row r="14" spans="1:183" ht="42.75" customHeight="1">
      <c r="A14" s="8">
        <v>7</v>
      </c>
      <c r="B14" s="9" t="s">
        <v>21</v>
      </c>
      <c r="C14" s="10">
        <f>'March 2022'!H14</f>
        <v>2084.5799999999995</v>
      </c>
      <c r="D14" s="10">
        <v>0</v>
      </c>
      <c r="E14" s="10">
        <f t="shared" si="0"/>
        <v>0</v>
      </c>
      <c r="F14" s="10">
        <v>0</v>
      </c>
      <c r="G14" s="10">
        <f t="shared" si="1"/>
        <v>0</v>
      </c>
      <c r="H14" s="10">
        <f t="shared" si="2"/>
        <v>2084.5799999999995</v>
      </c>
      <c r="I14" s="10">
        <f>'March 2022'!N14</f>
        <v>193.85399999999998</v>
      </c>
      <c r="J14" s="10">
        <v>0.54</v>
      </c>
      <c r="K14" s="10">
        <f t="shared" si="3"/>
        <v>0.54</v>
      </c>
      <c r="L14" s="10">
        <v>0</v>
      </c>
      <c r="M14" s="10">
        <f t="shared" si="4"/>
        <v>0</v>
      </c>
      <c r="N14" s="10">
        <f t="shared" si="5"/>
        <v>194.39399999999998</v>
      </c>
      <c r="O14" s="11">
        <f>'March 2022'!T14</f>
        <v>352.15999999999991</v>
      </c>
      <c r="P14" s="10">
        <f>0.12+31.49</f>
        <v>31.61</v>
      </c>
      <c r="Q14" s="10">
        <f t="shared" si="6"/>
        <v>31.61</v>
      </c>
      <c r="R14" s="10">
        <v>0</v>
      </c>
      <c r="S14" s="10">
        <f t="shared" si="7"/>
        <v>0</v>
      </c>
      <c r="T14" s="11">
        <f t="shared" si="8"/>
        <v>383.76999999999992</v>
      </c>
      <c r="U14" s="11">
        <f t="shared" si="9"/>
        <v>2662.7439999999992</v>
      </c>
      <c r="V14" s="12"/>
      <c r="W14" s="12"/>
    </row>
    <row r="15" spans="1:183" s="17" customFormat="1" ht="42.75" customHeight="1">
      <c r="A15" s="14" t="s">
        <v>22</v>
      </c>
      <c r="B15" s="15" t="s">
        <v>23</v>
      </c>
      <c r="C15" s="16">
        <f>SUM(C12:C14)</f>
        <v>4761.8399999999983</v>
      </c>
      <c r="D15" s="16">
        <f t="shared" ref="D15:U15" si="11">SUM(D12:D14)</f>
        <v>0</v>
      </c>
      <c r="E15" s="16">
        <f t="shared" si="11"/>
        <v>0</v>
      </c>
      <c r="F15" s="16">
        <f t="shared" si="11"/>
        <v>0</v>
      </c>
      <c r="G15" s="16">
        <f t="shared" si="11"/>
        <v>0</v>
      </c>
      <c r="H15" s="16">
        <f t="shared" si="11"/>
        <v>4761.8399999999983</v>
      </c>
      <c r="I15" s="16">
        <f t="shared" si="11"/>
        <v>463.8010000000001</v>
      </c>
      <c r="J15" s="16">
        <f t="shared" si="11"/>
        <v>1.1200000000000001</v>
      </c>
      <c r="K15" s="16">
        <f t="shared" si="11"/>
        <v>1.1200000000000001</v>
      </c>
      <c r="L15" s="16">
        <f t="shared" si="11"/>
        <v>0</v>
      </c>
      <c r="M15" s="16">
        <f t="shared" si="11"/>
        <v>0</v>
      </c>
      <c r="N15" s="16">
        <f t="shared" si="11"/>
        <v>464.92100000000005</v>
      </c>
      <c r="O15" s="16">
        <f t="shared" si="11"/>
        <v>1017.5999999999999</v>
      </c>
      <c r="P15" s="16">
        <f t="shared" si="11"/>
        <v>63.769999999999996</v>
      </c>
      <c r="Q15" s="16">
        <f t="shared" si="11"/>
        <v>63.769999999999996</v>
      </c>
      <c r="R15" s="16">
        <f t="shared" si="11"/>
        <v>0</v>
      </c>
      <c r="S15" s="16">
        <f t="shared" si="11"/>
        <v>0</v>
      </c>
      <c r="T15" s="16">
        <f t="shared" si="11"/>
        <v>1081.3699999999999</v>
      </c>
      <c r="U15" s="16">
        <f t="shared" si="11"/>
        <v>6308.1309999999976</v>
      </c>
      <c r="V15" s="55"/>
      <c r="W15" s="55"/>
    </row>
    <row r="16" spans="1:183" ht="42.75" customHeight="1">
      <c r="A16" s="8">
        <v>8</v>
      </c>
      <c r="B16" s="9" t="s">
        <v>24</v>
      </c>
      <c r="C16" s="10">
        <f>'March 2022'!H16</f>
        <v>1746.6119999999992</v>
      </c>
      <c r="D16" s="10">
        <v>0.17</v>
      </c>
      <c r="E16" s="10">
        <f t="shared" si="0"/>
        <v>0.17</v>
      </c>
      <c r="F16" s="10">
        <v>0</v>
      </c>
      <c r="G16" s="10">
        <f t="shared" si="1"/>
        <v>0</v>
      </c>
      <c r="H16" s="10">
        <f t="shared" si="2"/>
        <v>1746.7819999999992</v>
      </c>
      <c r="I16" s="10">
        <f>'March 2022'!N16</f>
        <v>111.02000000000002</v>
      </c>
      <c r="J16" s="10">
        <v>0.05</v>
      </c>
      <c r="K16" s="10">
        <f t="shared" si="3"/>
        <v>0.05</v>
      </c>
      <c r="L16" s="10">
        <v>0</v>
      </c>
      <c r="M16" s="10">
        <f t="shared" si="4"/>
        <v>0</v>
      </c>
      <c r="N16" s="10">
        <f t="shared" si="5"/>
        <v>111.07000000000002</v>
      </c>
      <c r="O16" s="11">
        <f>'March 2022'!T16</f>
        <v>111.39899999999999</v>
      </c>
      <c r="P16" s="10">
        <v>0.23</v>
      </c>
      <c r="Q16" s="10">
        <f t="shared" si="6"/>
        <v>0.23</v>
      </c>
      <c r="R16" s="10">
        <v>0</v>
      </c>
      <c r="S16" s="10">
        <f t="shared" si="7"/>
        <v>0</v>
      </c>
      <c r="T16" s="11">
        <f t="shared" si="8"/>
        <v>111.62899999999999</v>
      </c>
      <c r="U16" s="11">
        <f t="shared" si="9"/>
        <v>1969.4809999999991</v>
      </c>
      <c r="V16" s="12"/>
      <c r="W16" s="12"/>
    </row>
    <row r="17" spans="1:23" ht="57.75" customHeight="1">
      <c r="A17" s="8">
        <v>9</v>
      </c>
      <c r="B17" s="9" t="s">
        <v>25</v>
      </c>
      <c r="C17" s="10">
        <f>'March 2022'!H17</f>
        <v>199.43399999999986</v>
      </c>
      <c r="D17" s="10">
        <v>0</v>
      </c>
      <c r="E17" s="10">
        <f t="shared" si="0"/>
        <v>0</v>
      </c>
      <c r="F17" s="10">
        <v>0</v>
      </c>
      <c r="G17" s="10">
        <f t="shared" si="1"/>
        <v>0</v>
      </c>
      <c r="H17" s="10">
        <f t="shared" si="2"/>
        <v>199.43399999999986</v>
      </c>
      <c r="I17" s="10">
        <f>'March 2022'!N17</f>
        <v>22.076999999999991</v>
      </c>
      <c r="J17" s="10">
        <v>0.01</v>
      </c>
      <c r="K17" s="10">
        <f t="shared" si="3"/>
        <v>0.01</v>
      </c>
      <c r="L17" s="10">
        <v>0</v>
      </c>
      <c r="M17" s="10">
        <f t="shared" si="4"/>
        <v>0</v>
      </c>
      <c r="N17" s="10">
        <f t="shared" si="5"/>
        <v>22.086999999999993</v>
      </c>
      <c r="O17" s="11">
        <f>'March 2022'!T17</f>
        <v>408.27100000000002</v>
      </c>
      <c r="P17" s="10">
        <v>21.93</v>
      </c>
      <c r="Q17" s="10">
        <f t="shared" si="6"/>
        <v>21.93</v>
      </c>
      <c r="R17" s="10">
        <v>0</v>
      </c>
      <c r="S17" s="10">
        <f t="shared" si="7"/>
        <v>0</v>
      </c>
      <c r="T17" s="10">
        <f>O17+P17-R17</f>
        <v>430.20100000000002</v>
      </c>
      <c r="U17" s="11">
        <f t="shared" si="9"/>
        <v>651.72199999999987</v>
      </c>
      <c r="V17" s="12"/>
      <c r="W17" s="12"/>
    </row>
    <row r="18" spans="1:23" ht="42.75" customHeight="1">
      <c r="A18" s="8">
        <v>10</v>
      </c>
      <c r="B18" s="9" t="s">
        <v>26</v>
      </c>
      <c r="C18" s="10">
        <f>'March 2022'!H18</f>
        <v>669.86499999999933</v>
      </c>
      <c r="D18" s="10">
        <v>0</v>
      </c>
      <c r="E18" s="10">
        <f t="shared" si="0"/>
        <v>0</v>
      </c>
      <c r="F18" s="10">
        <v>0</v>
      </c>
      <c r="G18" s="10">
        <f t="shared" si="1"/>
        <v>0</v>
      </c>
      <c r="H18" s="10">
        <f t="shared" si="2"/>
        <v>669.86499999999933</v>
      </c>
      <c r="I18" s="10">
        <f>'March 2022'!N18</f>
        <v>16.36999999999999</v>
      </c>
      <c r="J18" s="10">
        <f>0.17+0.3</f>
        <v>0.47</v>
      </c>
      <c r="K18" s="10">
        <f t="shared" si="3"/>
        <v>0.47</v>
      </c>
      <c r="L18" s="10">
        <v>0</v>
      </c>
      <c r="M18" s="10">
        <f t="shared" si="4"/>
        <v>0</v>
      </c>
      <c r="N18" s="10">
        <f t="shared" si="5"/>
        <v>16.839999999999989</v>
      </c>
      <c r="O18" s="11">
        <f>'March 2022'!T18</f>
        <v>194.898</v>
      </c>
      <c r="P18" s="10">
        <f>0.33+21.9</f>
        <v>22.229999999999997</v>
      </c>
      <c r="Q18" s="10">
        <f t="shared" si="6"/>
        <v>22.229999999999997</v>
      </c>
      <c r="R18" s="10">
        <v>0</v>
      </c>
      <c r="S18" s="10">
        <f t="shared" si="7"/>
        <v>0</v>
      </c>
      <c r="T18" s="11">
        <f t="shared" si="8"/>
        <v>217.12799999999999</v>
      </c>
      <c r="U18" s="11">
        <f t="shared" si="9"/>
        <v>903.8329999999994</v>
      </c>
      <c r="V18" s="12"/>
      <c r="W18" s="12"/>
    </row>
    <row r="19" spans="1:23" s="17" customFormat="1" ht="42.75" customHeight="1">
      <c r="A19" s="14"/>
      <c r="B19" s="15" t="s">
        <v>27</v>
      </c>
      <c r="C19" s="16">
        <f>SUM(C16:C18)</f>
        <v>2615.9109999999982</v>
      </c>
      <c r="D19" s="16">
        <f t="shared" ref="D19:U19" si="12">SUM(D16:D18)</f>
        <v>0.17</v>
      </c>
      <c r="E19" s="16">
        <f t="shared" si="12"/>
        <v>0.17</v>
      </c>
      <c r="F19" s="16">
        <f t="shared" si="12"/>
        <v>0</v>
      </c>
      <c r="G19" s="16">
        <f t="shared" si="12"/>
        <v>0</v>
      </c>
      <c r="H19" s="16">
        <f t="shared" si="12"/>
        <v>2616.0809999999983</v>
      </c>
      <c r="I19" s="16">
        <f t="shared" si="12"/>
        <v>149.46699999999998</v>
      </c>
      <c r="J19" s="16">
        <f t="shared" si="12"/>
        <v>0.53</v>
      </c>
      <c r="K19" s="16">
        <f t="shared" si="12"/>
        <v>0.53</v>
      </c>
      <c r="L19" s="16">
        <f t="shared" si="12"/>
        <v>0</v>
      </c>
      <c r="M19" s="16">
        <f t="shared" si="12"/>
        <v>0</v>
      </c>
      <c r="N19" s="16">
        <f t="shared" si="12"/>
        <v>149.99700000000001</v>
      </c>
      <c r="O19" s="16">
        <f t="shared" si="12"/>
        <v>714.56799999999998</v>
      </c>
      <c r="P19" s="16">
        <f t="shared" si="12"/>
        <v>44.39</v>
      </c>
      <c r="Q19" s="16">
        <f t="shared" si="12"/>
        <v>44.39</v>
      </c>
      <c r="R19" s="16">
        <f t="shared" si="12"/>
        <v>0</v>
      </c>
      <c r="S19" s="16">
        <f t="shared" si="12"/>
        <v>0</v>
      </c>
      <c r="T19" s="16">
        <f t="shared" si="12"/>
        <v>758.95800000000008</v>
      </c>
      <c r="U19" s="16">
        <f t="shared" si="12"/>
        <v>3525.0359999999982</v>
      </c>
      <c r="V19" s="55"/>
      <c r="W19" s="55"/>
    </row>
    <row r="20" spans="1:23" ht="42.75" customHeight="1">
      <c r="A20" s="8">
        <v>11</v>
      </c>
      <c r="B20" s="9" t="s">
        <v>28</v>
      </c>
      <c r="C20" s="10">
        <f>'March 2022'!H20</f>
        <v>1203.5449999999994</v>
      </c>
      <c r="D20" s="10">
        <v>0.85</v>
      </c>
      <c r="E20" s="10">
        <f t="shared" si="0"/>
        <v>0.85</v>
      </c>
      <c r="F20" s="10">
        <v>0</v>
      </c>
      <c r="G20" s="10">
        <f t="shared" si="1"/>
        <v>0</v>
      </c>
      <c r="H20" s="10">
        <f t="shared" si="2"/>
        <v>1204.3949999999993</v>
      </c>
      <c r="I20" s="10">
        <f>'March 2022'!N20</f>
        <v>152.30100000000002</v>
      </c>
      <c r="J20" s="10">
        <v>0.4</v>
      </c>
      <c r="K20" s="10">
        <f t="shared" si="3"/>
        <v>0.4</v>
      </c>
      <c r="L20" s="10">
        <v>0</v>
      </c>
      <c r="M20" s="10">
        <f t="shared" si="4"/>
        <v>0</v>
      </c>
      <c r="N20" s="10">
        <f t="shared" si="5"/>
        <v>152.70100000000002</v>
      </c>
      <c r="O20" s="11">
        <f>'March 2022'!T20</f>
        <v>341.93099999999993</v>
      </c>
      <c r="P20" s="10">
        <v>2.71</v>
      </c>
      <c r="Q20" s="10">
        <f t="shared" si="6"/>
        <v>2.71</v>
      </c>
      <c r="R20" s="10">
        <v>0</v>
      </c>
      <c r="S20" s="10">
        <f t="shared" si="7"/>
        <v>0</v>
      </c>
      <c r="T20" s="11">
        <f t="shared" si="8"/>
        <v>344.64099999999991</v>
      </c>
      <c r="U20" s="11">
        <f t="shared" si="9"/>
        <v>1701.7369999999992</v>
      </c>
      <c r="V20" s="12"/>
      <c r="W20" s="12"/>
    </row>
    <row r="21" spans="1:23" ht="42.75" customHeight="1">
      <c r="A21" s="8">
        <v>12</v>
      </c>
      <c r="B21" s="9" t="s">
        <v>29</v>
      </c>
      <c r="C21" s="10">
        <f>'March 2022'!H21</f>
        <v>142.68999999999988</v>
      </c>
      <c r="D21" s="10">
        <v>0</v>
      </c>
      <c r="E21" s="10">
        <f t="shared" si="0"/>
        <v>0</v>
      </c>
      <c r="F21" s="10">
        <v>0</v>
      </c>
      <c r="G21" s="10">
        <f t="shared" si="1"/>
        <v>0</v>
      </c>
      <c r="H21" s="10">
        <f t="shared" si="2"/>
        <v>142.68999999999988</v>
      </c>
      <c r="I21" s="10">
        <f>'March 2022'!N21</f>
        <v>50.163000000000018</v>
      </c>
      <c r="J21" s="10">
        <v>0.25</v>
      </c>
      <c r="K21" s="10">
        <f t="shared" si="3"/>
        <v>0.25</v>
      </c>
      <c r="L21" s="10">
        <v>0</v>
      </c>
      <c r="M21" s="10">
        <f t="shared" si="4"/>
        <v>0</v>
      </c>
      <c r="N21" s="10">
        <f t="shared" si="5"/>
        <v>50.413000000000018</v>
      </c>
      <c r="O21" s="11">
        <f>'March 2022'!T21</f>
        <v>266.5</v>
      </c>
      <c r="P21" s="10">
        <v>0</v>
      </c>
      <c r="Q21" s="10">
        <f t="shared" si="6"/>
        <v>0</v>
      </c>
      <c r="R21" s="10">
        <v>0</v>
      </c>
      <c r="S21" s="10">
        <f t="shared" si="7"/>
        <v>0</v>
      </c>
      <c r="T21" s="11">
        <f t="shared" si="8"/>
        <v>266.5</v>
      </c>
      <c r="U21" s="11">
        <f t="shared" si="9"/>
        <v>459.60299999999989</v>
      </c>
      <c r="V21" s="12"/>
      <c r="W21" s="12"/>
    </row>
    <row r="22" spans="1:23" ht="42.75" customHeight="1">
      <c r="A22" s="8">
        <v>13</v>
      </c>
      <c r="B22" s="9" t="s">
        <v>30</v>
      </c>
      <c r="C22" s="10">
        <f>'March 2022'!H22</f>
        <v>27.069999999999879</v>
      </c>
      <c r="D22" s="10">
        <v>0</v>
      </c>
      <c r="E22" s="10">
        <f t="shared" si="0"/>
        <v>0</v>
      </c>
      <c r="F22" s="10">
        <v>0</v>
      </c>
      <c r="G22" s="10">
        <f t="shared" si="1"/>
        <v>0</v>
      </c>
      <c r="H22" s="10">
        <f t="shared" si="2"/>
        <v>27.069999999999879</v>
      </c>
      <c r="I22" s="10">
        <f>'March 2022'!N22</f>
        <v>15.600000000000005</v>
      </c>
      <c r="J22" s="10">
        <v>0</v>
      </c>
      <c r="K22" s="10">
        <f t="shared" si="3"/>
        <v>0</v>
      </c>
      <c r="L22" s="10">
        <v>0</v>
      </c>
      <c r="M22" s="10">
        <f t="shared" si="4"/>
        <v>0</v>
      </c>
      <c r="N22" s="10">
        <f t="shared" si="5"/>
        <v>15.600000000000005</v>
      </c>
      <c r="O22" s="11">
        <f>'March 2022'!T22</f>
        <v>671.51</v>
      </c>
      <c r="P22" s="10">
        <v>0.3</v>
      </c>
      <c r="Q22" s="10">
        <f t="shared" si="6"/>
        <v>0.3</v>
      </c>
      <c r="R22" s="10">
        <v>0</v>
      </c>
      <c r="S22" s="10">
        <f t="shared" si="7"/>
        <v>0</v>
      </c>
      <c r="T22" s="11">
        <f t="shared" si="8"/>
        <v>671.81</v>
      </c>
      <c r="U22" s="11">
        <f t="shared" si="9"/>
        <v>714.47999999999979</v>
      </c>
      <c r="V22" s="12"/>
      <c r="W22" s="12"/>
    </row>
    <row r="23" spans="1:23" ht="42.75" customHeight="1">
      <c r="A23" s="8">
        <v>14</v>
      </c>
      <c r="B23" s="9" t="s">
        <v>31</v>
      </c>
      <c r="C23" s="10">
        <f>'March 2022'!H23</f>
        <v>1172.9619999999998</v>
      </c>
      <c r="D23" s="10">
        <f>3.52+5.66</f>
        <v>9.18</v>
      </c>
      <c r="E23" s="10">
        <f t="shared" si="0"/>
        <v>9.18</v>
      </c>
      <c r="F23" s="10">
        <v>0</v>
      </c>
      <c r="G23" s="10">
        <f t="shared" si="1"/>
        <v>0</v>
      </c>
      <c r="H23" s="10">
        <f t="shared" si="2"/>
        <v>1182.1419999999998</v>
      </c>
      <c r="I23" s="10">
        <f>'March 2022'!N23</f>
        <v>15.293999999999997</v>
      </c>
      <c r="J23" s="10">
        <v>0.32</v>
      </c>
      <c r="K23" s="10">
        <f t="shared" si="3"/>
        <v>0.32</v>
      </c>
      <c r="L23" s="10">
        <v>0</v>
      </c>
      <c r="M23" s="10">
        <f t="shared" si="4"/>
        <v>0</v>
      </c>
      <c r="N23" s="10">
        <f t="shared" si="5"/>
        <v>15.613999999999997</v>
      </c>
      <c r="O23" s="11">
        <f>'March 2022'!T23</f>
        <v>167.285</v>
      </c>
      <c r="P23" s="10">
        <v>0</v>
      </c>
      <c r="Q23" s="10">
        <f t="shared" si="6"/>
        <v>0</v>
      </c>
      <c r="R23" s="10">
        <v>0</v>
      </c>
      <c r="S23" s="10">
        <f t="shared" si="7"/>
        <v>0</v>
      </c>
      <c r="T23" s="11">
        <f t="shared" si="8"/>
        <v>167.285</v>
      </c>
      <c r="U23" s="11">
        <f t="shared" si="9"/>
        <v>1365.0409999999999</v>
      </c>
      <c r="V23" s="12"/>
      <c r="W23" s="12"/>
    </row>
    <row r="24" spans="1:23" s="17" customFormat="1" ht="42.75" customHeight="1">
      <c r="A24" s="14"/>
      <c r="B24" s="15" t="s">
        <v>32</v>
      </c>
      <c r="C24" s="16">
        <f>SUM(C20:C23)</f>
        <v>2546.2669999999989</v>
      </c>
      <c r="D24" s="16">
        <f t="shared" ref="D24:U24" si="13">SUM(D20:D23)</f>
        <v>10.029999999999999</v>
      </c>
      <c r="E24" s="16">
        <f t="shared" si="13"/>
        <v>10.029999999999999</v>
      </c>
      <c r="F24" s="16">
        <f t="shared" si="13"/>
        <v>0</v>
      </c>
      <c r="G24" s="16">
        <f t="shared" si="13"/>
        <v>0</v>
      </c>
      <c r="H24" s="16">
        <f t="shared" si="13"/>
        <v>2556.2969999999987</v>
      </c>
      <c r="I24" s="16">
        <f t="shared" si="13"/>
        <v>233.358</v>
      </c>
      <c r="J24" s="16">
        <f t="shared" si="13"/>
        <v>0.97</v>
      </c>
      <c r="K24" s="16">
        <f t="shared" si="13"/>
        <v>0.97</v>
      </c>
      <c r="L24" s="16">
        <f t="shared" si="13"/>
        <v>0</v>
      </c>
      <c r="M24" s="16">
        <f t="shared" si="13"/>
        <v>0</v>
      </c>
      <c r="N24" s="16">
        <f t="shared" si="13"/>
        <v>234.32800000000003</v>
      </c>
      <c r="O24" s="16">
        <f t="shared" si="13"/>
        <v>1447.2259999999999</v>
      </c>
      <c r="P24" s="16">
        <f t="shared" si="13"/>
        <v>3.01</v>
      </c>
      <c r="Q24" s="16">
        <f t="shared" si="13"/>
        <v>3.01</v>
      </c>
      <c r="R24" s="16">
        <f t="shared" si="13"/>
        <v>0</v>
      </c>
      <c r="S24" s="16">
        <f t="shared" si="13"/>
        <v>0</v>
      </c>
      <c r="T24" s="16">
        <f t="shared" si="13"/>
        <v>1450.2359999999999</v>
      </c>
      <c r="U24" s="16">
        <f t="shared" si="13"/>
        <v>4240.860999999999</v>
      </c>
      <c r="V24" s="55"/>
      <c r="W24" s="55"/>
    </row>
    <row r="25" spans="1:23" s="17" customFormat="1" ht="42.75" customHeight="1">
      <c r="A25" s="14"/>
      <c r="B25" s="15" t="s">
        <v>33</v>
      </c>
      <c r="C25" s="16">
        <f>C24+C19+C15+C11</f>
        <v>11326.492999999997</v>
      </c>
      <c r="D25" s="16">
        <f t="shared" ref="D25:U25" si="14">D24+D19+D15+D11</f>
        <v>10.199999999999999</v>
      </c>
      <c r="E25" s="16">
        <f t="shared" si="14"/>
        <v>10.199999999999999</v>
      </c>
      <c r="F25" s="16">
        <f t="shared" si="14"/>
        <v>0</v>
      </c>
      <c r="G25" s="16">
        <f t="shared" si="14"/>
        <v>0</v>
      </c>
      <c r="H25" s="16">
        <f t="shared" si="14"/>
        <v>11336.692999999996</v>
      </c>
      <c r="I25" s="16">
        <f t="shared" si="14"/>
        <v>1436.8280000000002</v>
      </c>
      <c r="J25" s="16">
        <f t="shared" si="14"/>
        <v>4.6080000000000005</v>
      </c>
      <c r="K25" s="16">
        <f t="shared" si="14"/>
        <v>4.6080000000000005</v>
      </c>
      <c r="L25" s="16">
        <f t="shared" si="14"/>
        <v>0</v>
      </c>
      <c r="M25" s="16">
        <f t="shared" si="14"/>
        <v>0</v>
      </c>
      <c r="N25" s="16">
        <f t="shared" si="14"/>
        <v>1441.4360000000001</v>
      </c>
      <c r="O25" s="16">
        <f t="shared" si="14"/>
        <v>4025.3240000000001</v>
      </c>
      <c r="P25" s="16">
        <f t="shared" si="14"/>
        <v>145.13999999999999</v>
      </c>
      <c r="Q25" s="16">
        <f t="shared" si="14"/>
        <v>145.13999999999999</v>
      </c>
      <c r="R25" s="16">
        <f t="shared" si="14"/>
        <v>0</v>
      </c>
      <c r="S25" s="16">
        <f t="shared" si="14"/>
        <v>0</v>
      </c>
      <c r="T25" s="16">
        <f t="shared" si="14"/>
        <v>4170.4639999999999</v>
      </c>
      <c r="U25" s="16">
        <f t="shared" si="14"/>
        <v>16948.592999999993</v>
      </c>
      <c r="V25" s="55"/>
      <c r="W25" s="55"/>
    </row>
    <row r="26" spans="1:23" ht="42.75" customHeight="1">
      <c r="A26" s="8">
        <v>15</v>
      </c>
      <c r="B26" s="9" t="s">
        <v>34</v>
      </c>
      <c r="C26" s="10">
        <f>'March 2022'!H26</f>
        <v>1183.6419999999994</v>
      </c>
      <c r="D26" s="10">
        <v>6.09</v>
      </c>
      <c r="E26" s="10">
        <f t="shared" si="0"/>
        <v>6.09</v>
      </c>
      <c r="F26" s="10">
        <v>0</v>
      </c>
      <c r="G26" s="10">
        <f t="shared" si="1"/>
        <v>0</v>
      </c>
      <c r="H26" s="10">
        <f t="shared" si="2"/>
        <v>1189.7319999999993</v>
      </c>
      <c r="I26" s="10">
        <f>'March 2022'!N26</f>
        <v>0</v>
      </c>
      <c r="J26" s="10">
        <v>0</v>
      </c>
      <c r="K26" s="10">
        <f t="shared" si="3"/>
        <v>0</v>
      </c>
      <c r="L26" s="10">
        <v>0</v>
      </c>
      <c r="M26" s="10">
        <f t="shared" si="4"/>
        <v>0</v>
      </c>
      <c r="N26" s="10">
        <f t="shared" si="5"/>
        <v>0</v>
      </c>
      <c r="O26" s="11">
        <f>'March 2022'!T26</f>
        <v>129.56</v>
      </c>
      <c r="P26" s="10">
        <v>0</v>
      </c>
      <c r="Q26" s="10">
        <f t="shared" si="6"/>
        <v>0</v>
      </c>
      <c r="R26" s="10">
        <v>0</v>
      </c>
      <c r="S26" s="10">
        <f t="shared" si="7"/>
        <v>0</v>
      </c>
      <c r="T26" s="11">
        <f t="shared" si="8"/>
        <v>129.56</v>
      </c>
      <c r="U26" s="11">
        <f t="shared" si="9"/>
        <v>1319.2919999999992</v>
      </c>
      <c r="V26" s="12"/>
      <c r="W26" s="12"/>
    </row>
    <row r="27" spans="1:23" ht="42.75" customHeight="1">
      <c r="A27" s="8">
        <v>16</v>
      </c>
      <c r="B27" s="9" t="s">
        <v>67</v>
      </c>
      <c r="C27" s="10">
        <f>'March 2022'!H27</f>
        <v>10298.186999999993</v>
      </c>
      <c r="D27" s="10">
        <v>6.12</v>
      </c>
      <c r="E27" s="10">
        <f t="shared" si="0"/>
        <v>6.12</v>
      </c>
      <c r="F27" s="10">
        <v>0</v>
      </c>
      <c r="G27" s="10">
        <f t="shared" si="1"/>
        <v>0</v>
      </c>
      <c r="H27" s="10">
        <f t="shared" si="2"/>
        <v>10304.306999999993</v>
      </c>
      <c r="I27" s="10">
        <f>'March 2022'!N27</f>
        <v>385.03499999999991</v>
      </c>
      <c r="J27" s="10">
        <v>5.16</v>
      </c>
      <c r="K27" s="10">
        <f t="shared" si="3"/>
        <v>5.16</v>
      </c>
      <c r="L27" s="10">
        <v>0</v>
      </c>
      <c r="M27" s="10">
        <f t="shared" si="4"/>
        <v>0</v>
      </c>
      <c r="N27" s="10">
        <f t="shared" si="5"/>
        <v>390.19499999999994</v>
      </c>
      <c r="O27" s="11">
        <f>'March 2022'!T27</f>
        <v>75.350000000000009</v>
      </c>
      <c r="P27" s="10">
        <v>0</v>
      </c>
      <c r="Q27" s="10">
        <f t="shared" si="6"/>
        <v>0</v>
      </c>
      <c r="R27" s="10">
        <v>45.21</v>
      </c>
      <c r="S27" s="10">
        <f t="shared" si="7"/>
        <v>45.21</v>
      </c>
      <c r="T27" s="11">
        <f t="shared" si="8"/>
        <v>30.140000000000008</v>
      </c>
      <c r="U27" s="11">
        <f t="shared" si="9"/>
        <v>10724.641999999993</v>
      </c>
      <c r="V27" s="12"/>
      <c r="W27" s="12"/>
    </row>
    <row r="28" spans="1:23" s="17" customFormat="1" ht="42.75" customHeight="1">
      <c r="A28" s="14"/>
      <c r="B28" s="15" t="s">
        <v>35</v>
      </c>
      <c r="C28" s="16">
        <f>SUM(C26:C27)</f>
        <v>11481.828999999992</v>
      </c>
      <c r="D28" s="16">
        <f t="shared" ref="D28:U28" si="15">SUM(D26:D27)</f>
        <v>12.21</v>
      </c>
      <c r="E28" s="16">
        <f t="shared" si="15"/>
        <v>12.21</v>
      </c>
      <c r="F28" s="16">
        <f t="shared" si="15"/>
        <v>0</v>
      </c>
      <c r="G28" s="16">
        <f t="shared" si="15"/>
        <v>0</v>
      </c>
      <c r="H28" s="16">
        <f t="shared" si="15"/>
        <v>11494.038999999993</v>
      </c>
      <c r="I28" s="16">
        <f t="shared" si="15"/>
        <v>385.03499999999991</v>
      </c>
      <c r="J28" s="16">
        <f t="shared" si="15"/>
        <v>5.16</v>
      </c>
      <c r="K28" s="16">
        <f t="shared" si="15"/>
        <v>5.16</v>
      </c>
      <c r="L28" s="16">
        <f t="shared" si="15"/>
        <v>0</v>
      </c>
      <c r="M28" s="16">
        <f t="shared" si="15"/>
        <v>0</v>
      </c>
      <c r="N28" s="16">
        <f t="shared" si="15"/>
        <v>390.19499999999994</v>
      </c>
      <c r="O28" s="16">
        <f t="shared" si="15"/>
        <v>204.91000000000003</v>
      </c>
      <c r="P28" s="16">
        <f t="shared" si="15"/>
        <v>0</v>
      </c>
      <c r="Q28" s="16">
        <f t="shared" si="15"/>
        <v>0</v>
      </c>
      <c r="R28" s="16">
        <f t="shared" si="15"/>
        <v>45.21</v>
      </c>
      <c r="S28" s="16">
        <f t="shared" si="15"/>
        <v>45.21</v>
      </c>
      <c r="T28" s="16">
        <f t="shared" si="15"/>
        <v>159.70000000000002</v>
      </c>
      <c r="U28" s="16">
        <f t="shared" si="15"/>
        <v>12043.933999999992</v>
      </c>
      <c r="V28" s="55"/>
      <c r="W28" s="55"/>
    </row>
    <row r="29" spans="1:23" ht="42.75" customHeight="1">
      <c r="A29" s="8">
        <v>17</v>
      </c>
      <c r="B29" s="9" t="s">
        <v>36</v>
      </c>
      <c r="C29" s="10">
        <f>'March 2022'!H29</f>
        <v>4464.3330000000014</v>
      </c>
      <c r="D29" s="10">
        <v>10.6</v>
      </c>
      <c r="E29" s="10">
        <f t="shared" si="0"/>
        <v>10.6</v>
      </c>
      <c r="F29" s="10">
        <v>0</v>
      </c>
      <c r="G29" s="10">
        <f t="shared" si="1"/>
        <v>0</v>
      </c>
      <c r="H29" s="10">
        <f>C29+D29-F29-62.72</f>
        <v>4412.2130000000016</v>
      </c>
      <c r="I29" s="10">
        <f>'March 2022'!N29</f>
        <v>71.69</v>
      </c>
      <c r="J29" s="10">
        <v>0</v>
      </c>
      <c r="K29" s="10">
        <f t="shared" si="3"/>
        <v>0</v>
      </c>
      <c r="L29" s="10">
        <v>0</v>
      </c>
      <c r="M29" s="10">
        <f t="shared" si="4"/>
        <v>0</v>
      </c>
      <c r="N29" s="10">
        <f t="shared" si="5"/>
        <v>71.69</v>
      </c>
      <c r="O29" s="11">
        <f>'March 2022'!T29</f>
        <v>138.08000000000001</v>
      </c>
      <c r="P29" s="10">
        <v>0</v>
      </c>
      <c r="Q29" s="10">
        <f t="shared" si="6"/>
        <v>0</v>
      </c>
      <c r="R29" s="10">
        <v>0</v>
      </c>
      <c r="S29" s="10">
        <f t="shared" si="7"/>
        <v>0</v>
      </c>
      <c r="T29" s="11">
        <f t="shared" si="8"/>
        <v>138.08000000000001</v>
      </c>
      <c r="U29" s="11">
        <f t="shared" si="9"/>
        <v>4621.9830000000011</v>
      </c>
      <c r="V29" s="12"/>
      <c r="W29" s="12"/>
    </row>
    <row r="30" spans="1:23" ht="42.75" customHeight="1">
      <c r="A30" s="8">
        <v>18</v>
      </c>
      <c r="B30" s="9" t="s">
        <v>37</v>
      </c>
      <c r="C30" s="10">
        <f>'March 2022'!H30</f>
        <v>5890.1140000000014</v>
      </c>
      <c r="D30" s="10">
        <v>8.7200000000000006</v>
      </c>
      <c r="E30" s="10">
        <f t="shared" si="0"/>
        <v>8.7200000000000006</v>
      </c>
      <c r="F30" s="10">
        <v>0</v>
      </c>
      <c r="G30" s="10">
        <f t="shared" si="1"/>
        <v>0</v>
      </c>
      <c r="H30" s="10">
        <f>C30+D30-F30+67.34+62.72</f>
        <v>6028.8940000000021</v>
      </c>
      <c r="I30" s="10">
        <f>'March 2022'!N30</f>
        <v>0</v>
      </c>
      <c r="J30" s="10">
        <v>0</v>
      </c>
      <c r="K30" s="10">
        <f t="shared" si="3"/>
        <v>0</v>
      </c>
      <c r="L30" s="10">
        <v>0</v>
      </c>
      <c r="M30" s="10">
        <f t="shared" si="4"/>
        <v>0</v>
      </c>
      <c r="N30" s="10">
        <f t="shared" si="5"/>
        <v>0</v>
      </c>
      <c r="O30" s="11">
        <f>'March 2022'!T30</f>
        <v>0.22</v>
      </c>
      <c r="P30" s="10">
        <v>0</v>
      </c>
      <c r="Q30" s="10">
        <f t="shared" si="6"/>
        <v>0</v>
      </c>
      <c r="R30" s="10">
        <v>0</v>
      </c>
      <c r="S30" s="10">
        <f t="shared" si="7"/>
        <v>0</v>
      </c>
      <c r="T30" s="11">
        <f t="shared" si="8"/>
        <v>0.22</v>
      </c>
      <c r="U30" s="11">
        <f t="shared" si="9"/>
        <v>6029.1140000000023</v>
      </c>
      <c r="V30" s="12"/>
      <c r="W30" s="12"/>
    </row>
    <row r="31" spans="1:23" ht="42.75" customHeight="1">
      <c r="A31" s="8">
        <v>19</v>
      </c>
      <c r="B31" s="9" t="s">
        <v>38</v>
      </c>
      <c r="C31" s="10">
        <f>'March 2022'!H31</f>
        <v>3074.0629999999996</v>
      </c>
      <c r="D31" s="10">
        <v>2.89</v>
      </c>
      <c r="E31" s="10">
        <f t="shared" si="0"/>
        <v>2.89</v>
      </c>
      <c r="F31" s="10">
        <v>3.38</v>
      </c>
      <c r="G31" s="10">
        <f t="shared" si="1"/>
        <v>3.38</v>
      </c>
      <c r="H31" s="10">
        <f t="shared" si="2"/>
        <v>3073.5729999999994</v>
      </c>
      <c r="I31" s="10">
        <f>'March 2022'!N31</f>
        <v>3.1600000000000037</v>
      </c>
      <c r="J31" s="10">
        <v>0</v>
      </c>
      <c r="K31" s="10">
        <f t="shared" si="3"/>
        <v>0</v>
      </c>
      <c r="L31" s="10">
        <v>0</v>
      </c>
      <c r="M31" s="10">
        <f t="shared" si="4"/>
        <v>0</v>
      </c>
      <c r="N31" s="10">
        <f t="shared" si="5"/>
        <v>3.1600000000000037</v>
      </c>
      <c r="O31" s="11">
        <f>'March 2022'!T31</f>
        <v>128.47999999999999</v>
      </c>
      <c r="P31" s="10">
        <v>0</v>
      </c>
      <c r="Q31" s="10">
        <f t="shared" si="6"/>
        <v>0</v>
      </c>
      <c r="R31" s="10">
        <v>0</v>
      </c>
      <c r="S31" s="10">
        <f t="shared" si="7"/>
        <v>0</v>
      </c>
      <c r="T31" s="11">
        <f t="shared" si="8"/>
        <v>128.47999999999999</v>
      </c>
      <c r="U31" s="11">
        <f t="shared" si="9"/>
        <v>3205.2129999999993</v>
      </c>
      <c r="V31" s="12"/>
      <c r="W31" s="12"/>
    </row>
    <row r="32" spans="1:23" ht="42.75" customHeight="1">
      <c r="A32" s="8">
        <v>20</v>
      </c>
      <c r="B32" s="9" t="s">
        <v>39</v>
      </c>
      <c r="C32" s="10">
        <f>'March 2022'!H32</f>
        <v>4436.0199999999995</v>
      </c>
      <c r="D32" s="10">
        <v>2.42</v>
      </c>
      <c r="E32" s="10">
        <f t="shared" si="0"/>
        <v>2.42</v>
      </c>
      <c r="F32" s="10">
        <v>0</v>
      </c>
      <c r="G32" s="10">
        <f t="shared" si="1"/>
        <v>0</v>
      </c>
      <c r="H32" s="10">
        <f>C32+D32-F32-67.34</f>
        <v>4371.0999999999995</v>
      </c>
      <c r="I32" s="10">
        <f>'March 2022'!N32</f>
        <v>133.84</v>
      </c>
      <c r="J32" s="10">
        <v>1.4</v>
      </c>
      <c r="K32" s="10">
        <f t="shared" si="3"/>
        <v>1.4</v>
      </c>
      <c r="L32" s="10">
        <v>0</v>
      </c>
      <c r="M32" s="10">
        <f t="shared" si="4"/>
        <v>0</v>
      </c>
      <c r="N32" s="10">
        <f t="shared" si="5"/>
        <v>135.24</v>
      </c>
      <c r="O32" s="11">
        <f>'March 2022'!T32</f>
        <v>271.04999999999995</v>
      </c>
      <c r="P32" s="10">
        <v>0</v>
      </c>
      <c r="Q32" s="10">
        <f t="shared" si="6"/>
        <v>0</v>
      </c>
      <c r="R32" s="10">
        <v>27.41</v>
      </c>
      <c r="S32" s="10">
        <f t="shared" si="7"/>
        <v>27.41</v>
      </c>
      <c r="T32" s="11">
        <f t="shared" si="8"/>
        <v>243.63999999999996</v>
      </c>
      <c r="U32" s="11">
        <f t="shared" si="9"/>
        <v>4749.9799999999996</v>
      </c>
      <c r="V32" s="12"/>
      <c r="W32" s="12"/>
    </row>
    <row r="33" spans="1:23" s="17" customFormat="1" ht="42.75" customHeight="1">
      <c r="A33" s="14"/>
      <c r="B33" s="15" t="s">
        <v>68</v>
      </c>
      <c r="C33" s="16">
        <f>SUM(C29:C32)</f>
        <v>17864.530000000002</v>
      </c>
      <c r="D33" s="16">
        <f t="shared" ref="D33:U33" si="16">SUM(D29:D32)</f>
        <v>24.630000000000003</v>
      </c>
      <c r="E33" s="16">
        <f t="shared" si="16"/>
        <v>24.630000000000003</v>
      </c>
      <c r="F33" s="16">
        <f t="shared" si="16"/>
        <v>3.38</v>
      </c>
      <c r="G33" s="16">
        <f t="shared" si="16"/>
        <v>3.38</v>
      </c>
      <c r="H33" s="16">
        <f t="shared" si="16"/>
        <v>17885.780000000002</v>
      </c>
      <c r="I33" s="16">
        <f t="shared" si="16"/>
        <v>208.69</v>
      </c>
      <c r="J33" s="16">
        <f t="shared" si="16"/>
        <v>1.4</v>
      </c>
      <c r="K33" s="16">
        <f t="shared" si="16"/>
        <v>1.4</v>
      </c>
      <c r="L33" s="16">
        <f t="shared" si="16"/>
        <v>0</v>
      </c>
      <c r="M33" s="16">
        <f t="shared" si="16"/>
        <v>0</v>
      </c>
      <c r="N33" s="16">
        <f t="shared" si="16"/>
        <v>210.09</v>
      </c>
      <c r="O33" s="16">
        <f t="shared" si="16"/>
        <v>537.82999999999993</v>
      </c>
      <c r="P33" s="16">
        <f t="shared" si="16"/>
        <v>0</v>
      </c>
      <c r="Q33" s="16">
        <f t="shared" si="16"/>
        <v>0</v>
      </c>
      <c r="R33" s="16">
        <f t="shared" si="16"/>
        <v>27.41</v>
      </c>
      <c r="S33" s="16">
        <f t="shared" si="16"/>
        <v>27.41</v>
      </c>
      <c r="T33" s="16">
        <f t="shared" si="16"/>
        <v>510.41999999999996</v>
      </c>
      <c r="U33" s="16">
        <f t="shared" si="16"/>
        <v>18606.29</v>
      </c>
      <c r="V33" s="55"/>
      <c r="W33" s="55"/>
    </row>
    <row r="34" spans="1:23" ht="42.75" customHeight="1">
      <c r="A34" s="8">
        <v>21</v>
      </c>
      <c r="B34" s="9" t="s">
        <v>40</v>
      </c>
      <c r="C34" s="10">
        <f>'March 2022'!H34</f>
        <v>5866.1100000000015</v>
      </c>
      <c r="D34" s="10">
        <v>5.34</v>
      </c>
      <c r="E34" s="10">
        <f t="shared" si="0"/>
        <v>5.34</v>
      </c>
      <c r="F34" s="10">
        <v>0</v>
      </c>
      <c r="G34" s="10">
        <f t="shared" si="1"/>
        <v>0</v>
      </c>
      <c r="H34" s="10">
        <f t="shared" si="2"/>
        <v>5871.4500000000016</v>
      </c>
      <c r="I34" s="10">
        <f>'March 2022'!N34</f>
        <v>0</v>
      </c>
      <c r="J34" s="10">
        <v>0</v>
      </c>
      <c r="K34" s="10">
        <f t="shared" si="3"/>
        <v>0</v>
      </c>
      <c r="L34" s="10">
        <v>0</v>
      </c>
      <c r="M34" s="10">
        <f t="shared" si="4"/>
        <v>0</v>
      </c>
      <c r="N34" s="10">
        <f t="shared" si="5"/>
        <v>0</v>
      </c>
      <c r="O34" s="11">
        <f>'March 2022'!T34</f>
        <v>0</v>
      </c>
      <c r="P34" s="10">
        <v>0</v>
      </c>
      <c r="Q34" s="10">
        <f t="shared" si="6"/>
        <v>0</v>
      </c>
      <c r="R34" s="10">
        <v>0</v>
      </c>
      <c r="S34" s="10">
        <f t="shared" si="7"/>
        <v>0</v>
      </c>
      <c r="T34" s="11">
        <f t="shared" si="8"/>
        <v>0</v>
      </c>
      <c r="U34" s="11">
        <f t="shared" si="9"/>
        <v>5871.4500000000016</v>
      </c>
      <c r="V34" s="18"/>
      <c r="W34" s="18"/>
    </row>
    <row r="35" spans="1:23" ht="42.75" customHeight="1">
      <c r="A35" s="8">
        <v>22</v>
      </c>
      <c r="B35" s="9" t="s">
        <v>41</v>
      </c>
      <c r="C35" s="10">
        <f>'March 2022'!H35</f>
        <v>4624.9050000000007</v>
      </c>
      <c r="D35" s="10">
        <v>20.13</v>
      </c>
      <c r="E35" s="10">
        <f t="shared" si="0"/>
        <v>20.13</v>
      </c>
      <c r="F35" s="10">
        <v>0</v>
      </c>
      <c r="G35" s="10">
        <f t="shared" si="1"/>
        <v>0</v>
      </c>
      <c r="H35" s="10">
        <f t="shared" si="2"/>
        <v>4645.0350000000008</v>
      </c>
      <c r="I35" s="10">
        <f>'March 2022'!N35</f>
        <v>0.1</v>
      </c>
      <c r="J35" s="10">
        <v>0</v>
      </c>
      <c r="K35" s="10">
        <f t="shared" si="3"/>
        <v>0</v>
      </c>
      <c r="L35" s="10">
        <v>0</v>
      </c>
      <c r="M35" s="10">
        <f t="shared" si="4"/>
        <v>0</v>
      </c>
      <c r="N35" s="10">
        <f t="shared" si="5"/>
        <v>0.1</v>
      </c>
      <c r="O35" s="11">
        <f>'March 2022'!T35</f>
        <v>16.43</v>
      </c>
      <c r="P35" s="10">
        <v>0</v>
      </c>
      <c r="Q35" s="10">
        <f t="shared" si="6"/>
        <v>0</v>
      </c>
      <c r="R35" s="10">
        <v>0</v>
      </c>
      <c r="S35" s="10">
        <f t="shared" si="7"/>
        <v>0</v>
      </c>
      <c r="T35" s="11">
        <f t="shared" si="8"/>
        <v>16.43</v>
      </c>
      <c r="U35" s="11">
        <f t="shared" si="9"/>
        <v>4661.5650000000014</v>
      </c>
      <c r="V35" s="18"/>
      <c r="W35" s="18"/>
    </row>
    <row r="36" spans="1:23" ht="42.75" customHeight="1">
      <c r="A36" s="8">
        <v>23</v>
      </c>
      <c r="B36" s="9" t="s">
        <v>42</v>
      </c>
      <c r="C36" s="10">
        <f>'March 2022'!H36</f>
        <v>19366.870000000003</v>
      </c>
      <c r="D36" s="10">
        <v>0.1</v>
      </c>
      <c r="E36" s="10">
        <f t="shared" si="0"/>
        <v>0.1</v>
      </c>
      <c r="F36" s="10">
        <v>0</v>
      </c>
      <c r="G36" s="10">
        <f t="shared" si="1"/>
        <v>0</v>
      </c>
      <c r="H36" s="10">
        <f t="shared" si="2"/>
        <v>19366.97</v>
      </c>
      <c r="I36" s="10">
        <f>'March 2022'!N36</f>
        <v>8.5</v>
      </c>
      <c r="J36" s="10">
        <v>0</v>
      </c>
      <c r="K36" s="10">
        <f t="shared" si="3"/>
        <v>0</v>
      </c>
      <c r="L36" s="10">
        <v>0</v>
      </c>
      <c r="M36" s="10">
        <f t="shared" si="4"/>
        <v>0</v>
      </c>
      <c r="N36" s="10">
        <f t="shared" si="5"/>
        <v>8.5</v>
      </c>
      <c r="O36" s="11">
        <f>'March 2022'!T36</f>
        <v>0</v>
      </c>
      <c r="P36" s="10">
        <v>0</v>
      </c>
      <c r="Q36" s="10">
        <f t="shared" si="6"/>
        <v>0</v>
      </c>
      <c r="R36" s="10">
        <v>0</v>
      </c>
      <c r="S36" s="10">
        <f t="shared" si="7"/>
        <v>0</v>
      </c>
      <c r="T36" s="11">
        <f t="shared" si="8"/>
        <v>0</v>
      </c>
      <c r="U36" s="11">
        <f t="shared" si="9"/>
        <v>19375.47</v>
      </c>
      <c r="V36" s="18"/>
      <c r="W36" s="18"/>
    </row>
    <row r="37" spans="1:23" ht="42.75" customHeight="1">
      <c r="A37" s="8">
        <v>24</v>
      </c>
      <c r="B37" s="9" t="s">
        <v>43</v>
      </c>
      <c r="C37" s="10">
        <f>'March 2022'!H37</f>
        <v>7007.5999999999985</v>
      </c>
      <c r="D37" s="10">
        <v>0.72</v>
      </c>
      <c r="E37" s="10">
        <f t="shared" si="0"/>
        <v>0.72</v>
      </c>
      <c r="F37" s="10">
        <v>0</v>
      </c>
      <c r="G37" s="10">
        <f t="shared" si="1"/>
        <v>0</v>
      </c>
      <c r="H37" s="10">
        <f t="shared" si="2"/>
        <v>7008.3199999999988</v>
      </c>
      <c r="I37" s="10">
        <f>'March 2022'!N37</f>
        <v>0</v>
      </c>
      <c r="J37" s="10">
        <v>0</v>
      </c>
      <c r="K37" s="10">
        <f t="shared" si="3"/>
        <v>0</v>
      </c>
      <c r="L37" s="10">
        <v>0</v>
      </c>
      <c r="M37" s="10">
        <f t="shared" si="4"/>
        <v>0</v>
      </c>
      <c r="N37" s="10">
        <f t="shared" si="5"/>
        <v>0</v>
      </c>
      <c r="O37" s="11">
        <f>'March 2022'!T37</f>
        <v>3.1</v>
      </c>
      <c r="P37" s="10">
        <v>0</v>
      </c>
      <c r="Q37" s="10">
        <f t="shared" si="6"/>
        <v>0</v>
      </c>
      <c r="R37" s="10">
        <v>0</v>
      </c>
      <c r="S37" s="10">
        <f t="shared" si="7"/>
        <v>0</v>
      </c>
      <c r="T37" s="11">
        <f t="shared" si="8"/>
        <v>3.1</v>
      </c>
      <c r="U37" s="11">
        <f t="shared" si="9"/>
        <v>7011.4199999999992</v>
      </c>
      <c r="V37" s="18"/>
      <c r="W37" s="18"/>
    </row>
    <row r="38" spans="1:23" s="17" customFormat="1" ht="42.75" customHeight="1">
      <c r="A38" s="14"/>
      <c r="B38" s="15" t="s">
        <v>44</v>
      </c>
      <c r="C38" s="16">
        <f>SUM(C34:C37)</f>
        <v>36865.485000000001</v>
      </c>
      <c r="D38" s="16">
        <f t="shared" ref="D38:U38" si="17">SUM(D34:D37)</f>
        <v>26.29</v>
      </c>
      <c r="E38" s="16">
        <f t="shared" si="17"/>
        <v>26.29</v>
      </c>
      <c r="F38" s="16">
        <f t="shared" si="17"/>
        <v>0</v>
      </c>
      <c r="G38" s="16">
        <f t="shared" si="17"/>
        <v>0</v>
      </c>
      <c r="H38" s="16">
        <f t="shared" si="17"/>
        <v>36891.775000000001</v>
      </c>
      <c r="I38" s="16">
        <f t="shared" si="17"/>
        <v>8.6</v>
      </c>
      <c r="J38" s="16">
        <f t="shared" si="17"/>
        <v>0</v>
      </c>
      <c r="K38" s="16">
        <f t="shared" si="17"/>
        <v>0</v>
      </c>
      <c r="L38" s="16">
        <f t="shared" si="17"/>
        <v>0</v>
      </c>
      <c r="M38" s="16">
        <f t="shared" si="17"/>
        <v>0</v>
      </c>
      <c r="N38" s="16">
        <f t="shared" si="17"/>
        <v>8.6</v>
      </c>
      <c r="O38" s="16">
        <f t="shared" si="17"/>
        <v>19.53</v>
      </c>
      <c r="P38" s="16">
        <f t="shared" si="17"/>
        <v>0</v>
      </c>
      <c r="Q38" s="16">
        <f t="shared" si="17"/>
        <v>0</v>
      </c>
      <c r="R38" s="16">
        <f t="shared" si="17"/>
        <v>0</v>
      </c>
      <c r="S38" s="16">
        <f t="shared" si="17"/>
        <v>0</v>
      </c>
      <c r="T38" s="16">
        <f t="shared" si="17"/>
        <v>19.53</v>
      </c>
      <c r="U38" s="16">
        <f t="shared" si="17"/>
        <v>36919.905000000006</v>
      </c>
      <c r="V38" s="55"/>
      <c r="W38" s="55"/>
    </row>
    <row r="39" spans="1:23" s="17" customFormat="1" ht="42.75" customHeight="1">
      <c r="A39" s="14"/>
      <c r="B39" s="15" t="s">
        <v>45</v>
      </c>
      <c r="C39" s="16">
        <f>C38+C33+C28</f>
        <v>66211.843999999997</v>
      </c>
      <c r="D39" s="16">
        <f t="shared" ref="D39:U39" si="18">D38+D33+D28</f>
        <v>63.13</v>
      </c>
      <c r="E39" s="16">
        <f t="shared" si="18"/>
        <v>63.13</v>
      </c>
      <c r="F39" s="16">
        <f t="shared" si="18"/>
        <v>3.38</v>
      </c>
      <c r="G39" s="16">
        <f t="shared" si="18"/>
        <v>3.38</v>
      </c>
      <c r="H39" s="16">
        <f t="shared" si="18"/>
        <v>66271.593999999997</v>
      </c>
      <c r="I39" s="16">
        <f t="shared" si="18"/>
        <v>602.32499999999993</v>
      </c>
      <c r="J39" s="16">
        <f t="shared" si="18"/>
        <v>6.5600000000000005</v>
      </c>
      <c r="K39" s="16">
        <f t="shared" si="18"/>
        <v>6.5600000000000005</v>
      </c>
      <c r="L39" s="16">
        <f t="shared" si="18"/>
        <v>0</v>
      </c>
      <c r="M39" s="16">
        <f t="shared" si="18"/>
        <v>0</v>
      </c>
      <c r="N39" s="16">
        <f t="shared" si="18"/>
        <v>608.88499999999999</v>
      </c>
      <c r="O39" s="16">
        <f t="shared" si="18"/>
        <v>762.27</v>
      </c>
      <c r="P39" s="16">
        <f t="shared" si="18"/>
        <v>0</v>
      </c>
      <c r="Q39" s="16">
        <f t="shared" si="18"/>
        <v>0</v>
      </c>
      <c r="R39" s="16">
        <f t="shared" si="18"/>
        <v>72.62</v>
      </c>
      <c r="S39" s="16">
        <f t="shared" si="18"/>
        <v>72.62</v>
      </c>
      <c r="T39" s="16">
        <f t="shared" si="18"/>
        <v>689.65</v>
      </c>
      <c r="U39" s="16">
        <f t="shared" si="18"/>
        <v>67570.129000000001</v>
      </c>
      <c r="V39" s="55"/>
      <c r="W39" s="55"/>
    </row>
    <row r="40" spans="1:23" ht="42.75" customHeight="1">
      <c r="A40" s="8">
        <v>25</v>
      </c>
      <c r="B40" s="9" t="s">
        <v>46</v>
      </c>
      <c r="C40" s="10">
        <f>'March 2022'!H40</f>
        <v>13785.088000000002</v>
      </c>
      <c r="D40" s="10">
        <v>23.57</v>
      </c>
      <c r="E40" s="10">
        <f t="shared" si="0"/>
        <v>23.57</v>
      </c>
      <c r="F40" s="10">
        <v>0</v>
      </c>
      <c r="G40" s="10">
        <f t="shared" si="1"/>
        <v>0</v>
      </c>
      <c r="H40" s="10">
        <f t="shared" si="2"/>
        <v>13808.658000000001</v>
      </c>
      <c r="I40" s="10">
        <f>'March 2022'!N40</f>
        <v>0</v>
      </c>
      <c r="J40" s="10">
        <v>0</v>
      </c>
      <c r="K40" s="10">
        <f t="shared" si="3"/>
        <v>0</v>
      </c>
      <c r="L40" s="10">
        <v>0</v>
      </c>
      <c r="M40" s="10">
        <f t="shared" si="4"/>
        <v>0</v>
      </c>
      <c r="N40" s="10">
        <f t="shared" si="5"/>
        <v>0</v>
      </c>
      <c r="O40" s="11">
        <f>'March 2022'!T40</f>
        <v>0</v>
      </c>
      <c r="P40" s="10">
        <v>0</v>
      </c>
      <c r="Q40" s="10">
        <f t="shared" si="6"/>
        <v>0</v>
      </c>
      <c r="R40" s="10">
        <v>0</v>
      </c>
      <c r="S40" s="10">
        <f t="shared" si="7"/>
        <v>0</v>
      </c>
      <c r="T40" s="11">
        <f t="shared" si="8"/>
        <v>0</v>
      </c>
      <c r="U40" s="11">
        <f t="shared" si="9"/>
        <v>13808.658000000001</v>
      </c>
      <c r="V40" s="12"/>
      <c r="W40" s="12"/>
    </row>
    <row r="41" spans="1:23" ht="42.75" customHeight="1">
      <c r="A41" s="8">
        <v>26</v>
      </c>
      <c r="B41" s="9" t="s">
        <v>47</v>
      </c>
      <c r="C41" s="10">
        <f>'March 2022'!H41</f>
        <v>10109.715999999991</v>
      </c>
      <c r="D41" s="10">
        <v>59.99</v>
      </c>
      <c r="E41" s="10">
        <f t="shared" si="0"/>
        <v>59.99</v>
      </c>
      <c r="F41" s="10">
        <v>0</v>
      </c>
      <c r="G41" s="10">
        <f t="shared" si="1"/>
        <v>0</v>
      </c>
      <c r="H41" s="10">
        <f t="shared" si="2"/>
        <v>10169.705999999991</v>
      </c>
      <c r="I41" s="10">
        <f>'March 2022'!N41</f>
        <v>0</v>
      </c>
      <c r="J41" s="10">
        <v>0</v>
      </c>
      <c r="K41" s="10">
        <f t="shared" si="3"/>
        <v>0</v>
      </c>
      <c r="L41" s="10">
        <v>0</v>
      </c>
      <c r="M41" s="10">
        <f t="shared" si="4"/>
        <v>0</v>
      </c>
      <c r="N41" s="10">
        <f t="shared" si="5"/>
        <v>0</v>
      </c>
      <c r="O41" s="11">
        <f>'March 2022'!T41</f>
        <v>0</v>
      </c>
      <c r="P41" s="10">
        <v>0</v>
      </c>
      <c r="Q41" s="10">
        <f t="shared" si="6"/>
        <v>0</v>
      </c>
      <c r="R41" s="10">
        <v>0</v>
      </c>
      <c r="S41" s="10">
        <f t="shared" si="7"/>
        <v>0</v>
      </c>
      <c r="T41" s="11">
        <f t="shared" si="8"/>
        <v>0</v>
      </c>
      <c r="U41" s="11">
        <f t="shared" si="9"/>
        <v>10169.705999999991</v>
      </c>
      <c r="V41" s="12"/>
      <c r="W41" s="12"/>
    </row>
    <row r="42" spans="1:23" ht="42.75" customHeight="1">
      <c r="A42" s="8">
        <v>27</v>
      </c>
      <c r="B42" s="9" t="s">
        <v>48</v>
      </c>
      <c r="C42" s="10">
        <f>'March 2022'!H42</f>
        <v>23873.914000000001</v>
      </c>
      <c r="D42" s="10">
        <v>11.32</v>
      </c>
      <c r="E42" s="10">
        <f t="shared" si="0"/>
        <v>11.32</v>
      </c>
      <c r="F42" s="10">
        <v>0</v>
      </c>
      <c r="G42" s="10">
        <f t="shared" si="1"/>
        <v>0</v>
      </c>
      <c r="H42" s="10">
        <f t="shared" si="2"/>
        <v>23885.234</v>
      </c>
      <c r="I42" s="10">
        <f>'March 2022'!N42</f>
        <v>0</v>
      </c>
      <c r="J42" s="10">
        <v>0</v>
      </c>
      <c r="K42" s="10">
        <f t="shared" si="3"/>
        <v>0</v>
      </c>
      <c r="L42" s="10">
        <v>0</v>
      </c>
      <c r="M42" s="10">
        <f t="shared" si="4"/>
        <v>0</v>
      </c>
      <c r="N42" s="10">
        <f t="shared" si="5"/>
        <v>0</v>
      </c>
      <c r="O42" s="11">
        <f>'March 2022'!T42</f>
        <v>0</v>
      </c>
      <c r="P42" s="10">
        <v>0</v>
      </c>
      <c r="Q42" s="10">
        <f t="shared" si="6"/>
        <v>0</v>
      </c>
      <c r="R42" s="10">
        <v>0</v>
      </c>
      <c r="S42" s="10">
        <f t="shared" si="7"/>
        <v>0</v>
      </c>
      <c r="T42" s="11">
        <f t="shared" si="8"/>
        <v>0</v>
      </c>
      <c r="U42" s="11">
        <f t="shared" si="9"/>
        <v>23885.234</v>
      </c>
      <c r="V42" s="12"/>
      <c r="W42" s="12"/>
    </row>
    <row r="43" spans="1:23" ht="42.75" customHeight="1">
      <c r="A43" s="8">
        <v>28</v>
      </c>
      <c r="B43" s="9" t="s">
        <v>49</v>
      </c>
      <c r="C43" s="10">
        <f>'March 2022'!H43</f>
        <v>2286.4630000000002</v>
      </c>
      <c r="D43" s="10">
        <v>7.84</v>
      </c>
      <c r="E43" s="10">
        <f t="shared" si="0"/>
        <v>7.84</v>
      </c>
      <c r="F43" s="10">
        <v>0</v>
      </c>
      <c r="G43" s="10">
        <f t="shared" si="1"/>
        <v>0</v>
      </c>
      <c r="H43" s="10">
        <f t="shared" si="2"/>
        <v>2294.3030000000003</v>
      </c>
      <c r="I43" s="10">
        <f>'March 2022'!N43</f>
        <v>0</v>
      </c>
      <c r="J43" s="10">
        <v>0</v>
      </c>
      <c r="K43" s="10">
        <f t="shared" si="3"/>
        <v>0</v>
      </c>
      <c r="L43" s="10">
        <v>0</v>
      </c>
      <c r="M43" s="10">
        <f t="shared" si="4"/>
        <v>0</v>
      </c>
      <c r="N43" s="10">
        <f t="shared" si="5"/>
        <v>0</v>
      </c>
      <c r="O43" s="11">
        <f>'March 2022'!T43</f>
        <v>0</v>
      </c>
      <c r="P43" s="10">
        <v>0</v>
      </c>
      <c r="Q43" s="10">
        <f t="shared" si="6"/>
        <v>0</v>
      </c>
      <c r="R43" s="10">
        <v>0</v>
      </c>
      <c r="S43" s="10">
        <f t="shared" si="7"/>
        <v>0</v>
      </c>
      <c r="T43" s="11">
        <f t="shared" si="8"/>
        <v>0</v>
      </c>
      <c r="U43" s="11">
        <f t="shared" si="9"/>
        <v>2294.3030000000003</v>
      </c>
      <c r="V43" s="12"/>
      <c r="W43" s="12"/>
    </row>
    <row r="44" spans="1:23" s="17" customFormat="1" ht="42.75" customHeight="1">
      <c r="A44" s="14"/>
      <c r="B44" s="15" t="s">
        <v>50</v>
      </c>
      <c r="C44" s="16">
        <f>SUM(C40:C43)</f>
        <v>50055.180999999997</v>
      </c>
      <c r="D44" s="16">
        <f t="shared" ref="D44:U44" si="19">SUM(D40:D43)</f>
        <v>102.72</v>
      </c>
      <c r="E44" s="16">
        <f t="shared" si="19"/>
        <v>102.72</v>
      </c>
      <c r="F44" s="16">
        <f t="shared" si="19"/>
        <v>0</v>
      </c>
      <c r="G44" s="16">
        <f t="shared" si="19"/>
        <v>0</v>
      </c>
      <c r="H44" s="16">
        <f t="shared" si="19"/>
        <v>50157.900999999998</v>
      </c>
      <c r="I44" s="16">
        <f t="shared" si="19"/>
        <v>0</v>
      </c>
      <c r="J44" s="16">
        <f t="shared" si="19"/>
        <v>0</v>
      </c>
      <c r="K44" s="16">
        <f t="shared" si="19"/>
        <v>0</v>
      </c>
      <c r="L44" s="16">
        <f t="shared" si="19"/>
        <v>0</v>
      </c>
      <c r="M44" s="16">
        <f t="shared" si="19"/>
        <v>0</v>
      </c>
      <c r="N44" s="16">
        <f t="shared" si="19"/>
        <v>0</v>
      </c>
      <c r="O44" s="16">
        <f t="shared" si="19"/>
        <v>0</v>
      </c>
      <c r="P44" s="16">
        <f t="shared" si="19"/>
        <v>0</v>
      </c>
      <c r="Q44" s="16">
        <f t="shared" si="19"/>
        <v>0</v>
      </c>
      <c r="R44" s="16">
        <f t="shared" si="19"/>
        <v>0</v>
      </c>
      <c r="S44" s="16">
        <f t="shared" si="19"/>
        <v>0</v>
      </c>
      <c r="T44" s="16">
        <f t="shared" si="19"/>
        <v>0</v>
      </c>
      <c r="U44" s="16">
        <f t="shared" si="19"/>
        <v>50157.900999999998</v>
      </c>
      <c r="V44" s="55"/>
      <c r="W44" s="55"/>
    </row>
    <row r="45" spans="1:23" ht="42.75" customHeight="1">
      <c r="A45" s="8">
        <v>29</v>
      </c>
      <c r="B45" s="9" t="s">
        <v>51</v>
      </c>
      <c r="C45" s="10">
        <f>'March 2022'!H45</f>
        <v>14109.22</v>
      </c>
      <c r="D45" s="10">
        <v>4.49</v>
      </c>
      <c r="E45" s="10">
        <f t="shared" si="0"/>
        <v>4.49</v>
      </c>
      <c r="F45" s="10">
        <v>0</v>
      </c>
      <c r="G45" s="10">
        <f t="shared" si="1"/>
        <v>0</v>
      </c>
      <c r="H45" s="10">
        <f t="shared" si="2"/>
        <v>14113.71</v>
      </c>
      <c r="I45" s="10">
        <f>'March 2022'!N45</f>
        <v>6.6300000000000008</v>
      </c>
      <c r="J45" s="10">
        <v>0</v>
      </c>
      <c r="K45" s="10">
        <f t="shared" si="3"/>
        <v>0</v>
      </c>
      <c r="L45" s="10">
        <v>0</v>
      </c>
      <c r="M45" s="10">
        <f t="shared" si="4"/>
        <v>0</v>
      </c>
      <c r="N45" s="10">
        <f t="shared" si="5"/>
        <v>6.6300000000000008</v>
      </c>
      <c r="O45" s="11">
        <f>'March 2022'!T45</f>
        <v>30.169999999999998</v>
      </c>
      <c r="P45" s="10">
        <v>59.61</v>
      </c>
      <c r="Q45" s="10">
        <f t="shared" si="6"/>
        <v>59.61</v>
      </c>
      <c r="R45" s="10">
        <v>0</v>
      </c>
      <c r="S45" s="10">
        <f t="shared" si="7"/>
        <v>0</v>
      </c>
      <c r="T45" s="11">
        <f t="shared" si="8"/>
        <v>89.78</v>
      </c>
      <c r="U45" s="11">
        <f t="shared" si="9"/>
        <v>14210.119999999999</v>
      </c>
      <c r="V45" s="12"/>
      <c r="W45" s="12"/>
    </row>
    <row r="46" spans="1:23" ht="42.75" customHeight="1">
      <c r="A46" s="8">
        <v>30</v>
      </c>
      <c r="B46" s="9" t="s">
        <v>52</v>
      </c>
      <c r="C46" s="10">
        <f>'March 2022'!H46</f>
        <v>7265.36</v>
      </c>
      <c r="D46" s="10">
        <v>13.23</v>
      </c>
      <c r="E46" s="10">
        <f t="shared" si="0"/>
        <v>13.23</v>
      </c>
      <c r="F46" s="10">
        <v>0</v>
      </c>
      <c r="G46" s="10">
        <f t="shared" si="1"/>
        <v>0</v>
      </c>
      <c r="H46" s="10">
        <f t="shared" si="2"/>
        <v>7278.5899999999992</v>
      </c>
      <c r="I46" s="10">
        <f>'March 2022'!N46</f>
        <v>0</v>
      </c>
      <c r="J46" s="10">
        <v>0</v>
      </c>
      <c r="K46" s="10">
        <f t="shared" si="3"/>
        <v>0</v>
      </c>
      <c r="L46" s="10">
        <v>0</v>
      </c>
      <c r="M46" s="10">
        <f t="shared" si="4"/>
        <v>0</v>
      </c>
      <c r="N46" s="10">
        <f t="shared" si="5"/>
        <v>0</v>
      </c>
      <c r="O46" s="11">
        <f>'March 2022'!T46</f>
        <v>7.9</v>
      </c>
      <c r="P46" s="10">
        <v>0</v>
      </c>
      <c r="Q46" s="10">
        <f t="shared" si="6"/>
        <v>0</v>
      </c>
      <c r="R46" s="10">
        <v>0.31</v>
      </c>
      <c r="S46" s="10">
        <f t="shared" si="7"/>
        <v>0.31</v>
      </c>
      <c r="T46" s="11">
        <f t="shared" si="8"/>
        <v>7.5900000000000007</v>
      </c>
      <c r="U46" s="11">
        <f t="shared" si="9"/>
        <v>7286.1799999999994</v>
      </c>
      <c r="V46" s="12"/>
      <c r="W46" s="12"/>
    </row>
    <row r="47" spans="1:23" ht="42.75" customHeight="1">
      <c r="A47" s="8">
        <v>31</v>
      </c>
      <c r="B47" s="9" t="s">
        <v>53</v>
      </c>
      <c r="C47" s="10">
        <f>'March 2022'!H47</f>
        <v>12293.260000000002</v>
      </c>
      <c r="D47" s="10">
        <v>7.4</v>
      </c>
      <c r="E47" s="10">
        <f t="shared" si="0"/>
        <v>7.4</v>
      </c>
      <c r="F47" s="10">
        <v>0</v>
      </c>
      <c r="G47" s="10">
        <f t="shared" si="1"/>
        <v>0</v>
      </c>
      <c r="H47" s="10">
        <f t="shared" si="2"/>
        <v>12300.660000000002</v>
      </c>
      <c r="I47" s="10">
        <f>'March 2022'!N47</f>
        <v>1.2999999999999998</v>
      </c>
      <c r="J47" s="10">
        <v>0</v>
      </c>
      <c r="K47" s="10">
        <f t="shared" si="3"/>
        <v>0</v>
      </c>
      <c r="L47" s="10">
        <v>0</v>
      </c>
      <c r="M47" s="10">
        <f t="shared" si="4"/>
        <v>0</v>
      </c>
      <c r="N47" s="10">
        <f t="shared" si="5"/>
        <v>1.2999999999999998</v>
      </c>
      <c r="O47" s="11">
        <f>'March 2022'!T47</f>
        <v>86.28</v>
      </c>
      <c r="P47" s="10">
        <v>0</v>
      </c>
      <c r="Q47" s="10">
        <f t="shared" si="6"/>
        <v>0</v>
      </c>
      <c r="R47" s="10">
        <v>0.1</v>
      </c>
      <c r="S47" s="10">
        <f t="shared" si="7"/>
        <v>0.1</v>
      </c>
      <c r="T47" s="11">
        <f t="shared" si="8"/>
        <v>86.18</v>
      </c>
      <c r="U47" s="11">
        <f t="shared" si="9"/>
        <v>12388.140000000001</v>
      </c>
      <c r="V47" s="12"/>
      <c r="W47" s="12"/>
    </row>
    <row r="48" spans="1:23" ht="42.75" customHeight="1">
      <c r="A48" s="8">
        <v>32</v>
      </c>
      <c r="B48" s="9" t="s">
        <v>54</v>
      </c>
      <c r="C48" s="10">
        <f>'March 2022'!H48</f>
        <v>11090.192000000008</v>
      </c>
      <c r="D48" s="10">
        <v>0.85</v>
      </c>
      <c r="E48" s="10">
        <f t="shared" si="0"/>
        <v>0.85</v>
      </c>
      <c r="F48" s="10">
        <v>0</v>
      </c>
      <c r="G48" s="10">
        <f t="shared" si="1"/>
        <v>0</v>
      </c>
      <c r="H48" s="10">
        <f t="shared" si="2"/>
        <v>11091.042000000009</v>
      </c>
      <c r="I48" s="10">
        <f>'March 2022'!N48</f>
        <v>0</v>
      </c>
      <c r="J48" s="10">
        <v>0</v>
      </c>
      <c r="K48" s="10">
        <f t="shared" si="3"/>
        <v>0</v>
      </c>
      <c r="L48" s="10">
        <v>0</v>
      </c>
      <c r="M48" s="10">
        <f t="shared" si="4"/>
        <v>0</v>
      </c>
      <c r="N48" s="10">
        <f t="shared" si="5"/>
        <v>0</v>
      </c>
      <c r="O48" s="11">
        <f>'March 2022'!T48</f>
        <v>30</v>
      </c>
      <c r="P48" s="10">
        <v>0.53</v>
      </c>
      <c r="Q48" s="10">
        <f t="shared" si="6"/>
        <v>0.53</v>
      </c>
      <c r="R48" s="10">
        <v>0</v>
      </c>
      <c r="S48" s="10">
        <f t="shared" si="7"/>
        <v>0</v>
      </c>
      <c r="T48" s="11">
        <f t="shared" si="8"/>
        <v>30.53</v>
      </c>
      <c r="U48" s="11">
        <f t="shared" si="9"/>
        <v>11121.572000000009</v>
      </c>
      <c r="V48" s="12"/>
      <c r="W48" s="12"/>
    </row>
    <row r="49" spans="1:23" s="17" customFormat="1" ht="42.75" customHeight="1">
      <c r="A49" s="14"/>
      <c r="B49" s="15" t="s">
        <v>55</v>
      </c>
      <c r="C49" s="16">
        <f>SUM(C45:C48)</f>
        <v>44758.032000000007</v>
      </c>
      <c r="D49" s="16">
        <f t="shared" ref="D49:U49" si="20">SUM(D45:D48)</f>
        <v>25.97</v>
      </c>
      <c r="E49" s="16">
        <f t="shared" si="20"/>
        <v>25.97</v>
      </c>
      <c r="F49" s="16">
        <f t="shared" si="20"/>
        <v>0</v>
      </c>
      <c r="G49" s="16">
        <f t="shared" si="20"/>
        <v>0</v>
      </c>
      <c r="H49" s="16">
        <f t="shared" si="20"/>
        <v>44784.002000000008</v>
      </c>
      <c r="I49" s="16">
        <f t="shared" si="20"/>
        <v>7.9300000000000006</v>
      </c>
      <c r="J49" s="16">
        <f t="shared" si="20"/>
        <v>0</v>
      </c>
      <c r="K49" s="16">
        <f t="shared" si="20"/>
        <v>0</v>
      </c>
      <c r="L49" s="16">
        <f t="shared" si="20"/>
        <v>0</v>
      </c>
      <c r="M49" s="16">
        <f t="shared" si="20"/>
        <v>0</v>
      </c>
      <c r="N49" s="16">
        <f t="shared" si="20"/>
        <v>7.9300000000000006</v>
      </c>
      <c r="O49" s="16">
        <f t="shared" si="20"/>
        <v>154.35</v>
      </c>
      <c r="P49" s="16">
        <f t="shared" si="20"/>
        <v>60.14</v>
      </c>
      <c r="Q49" s="16">
        <f t="shared" si="20"/>
        <v>60.14</v>
      </c>
      <c r="R49" s="16">
        <f t="shared" si="20"/>
        <v>0.41000000000000003</v>
      </c>
      <c r="S49" s="16">
        <f t="shared" si="20"/>
        <v>0.41000000000000003</v>
      </c>
      <c r="T49" s="16">
        <f t="shared" si="20"/>
        <v>214.08</v>
      </c>
      <c r="U49" s="16">
        <f t="shared" si="20"/>
        <v>45006.01200000001</v>
      </c>
      <c r="V49" s="55"/>
      <c r="W49" s="55"/>
    </row>
    <row r="50" spans="1:23" s="17" customFormat="1" ht="42.75" customHeight="1">
      <c r="A50" s="14"/>
      <c r="B50" s="15" t="s">
        <v>56</v>
      </c>
      <c r="C50" s="16">
        <f>C49+C44</f>
        <v>94813.213000000003</v>
      </c>
      <c r="D50" s="16">
        <f t="shared" ref="D50:U50" si="21">D49+D44</f>
        <v>128.69</v>
      </c>
      <c r="E50" s="16">
        <f t="shared" si="21"/>
        <v>128.69</v>
      </c>
      <c r="F50" s="16">
        <f t="shared" si="21"/>
        <v>0</v>
      </c>
      <c r="G50" s="16">
        <f t="shared" si="21"/>
        <v>0</v>
      </c>
      <c r="H50" s="16">
        <f t="shared" si="21"/>
        <v>94941.903000000006</v>
      </c>
      <c r="I50" s="16">
        <f t="shared" si="21"/>
        <v>7.9300000000000006</v>
      </c>
      <c r="J50" s="16">
        <f t="shared" si="21"/>
        <v>0</v>
      </c>
      <c r="K50" s="16">
        <f t="shared" si="21"/>
        <v>0</v>
      </c>
      <c r="L50" s="16">
        <f t="shared" si="21"/>
        <v>0</v>
      </c>
      <c r="M50" s="16">
        <f t="shared" si="21"/>
        <v>0</v>
      </c>
      <c r="N50" s="16">
        <f t="shared" si="21"/>
        <v>7.9300000000000006</v>
      </c>
      <c r="O50" s="16">
        <f t="shared" si="21"/>
        <v>154.35</v>
      </c>
      <c r="P50" s="16">
        <f t="shared" si="21"/>
        <v>60.14</v>
      </c>
      <c r="Q50" s="16">
        <f t="shared" si="21"/>
        <v>60.14</v>
      </c>
      <c r="R50" s="16">
        <f t="shared" si="21"/>
        <v>0.41000000000000003</v>
      </c>
      <c r="S50" s="16">
        <f t="shared" si="21"/>
        <v>0.41000000000000003</v>
      </c>
      <c r="T50" s="16">
        <f t="shared" si="21"/>
        <v>214.08</v>
      </c>
      <c r="U50" s="16">
        <f t="shared" si="21"/>
        <v>95163.913</v>
      </c>
      <c r="V50" s="55"/>
      <c r="W50" s="55"/>
    </row>
    <row r="51" spans="1:23" s="17" customFormat="1" ht="42.75" customHeight="1">
      <c r="A51" s="14"/>
      <c r="B51" s="15" t="s">
        <v>57</v>
      </c>
      <c r="C51" s="16">
        <f>C50+C39+C25</f>
        <v>172351.55</v>
      </c>
      <c r="D51" s="16">
        <f t="shared" ref="D51:U51" si="22">D50+D39+D25</f>
        <v>202.01999999999998</v>
      </c>
      <c r="E51" s="16">
        <f t="shared" si="22"/>
        <v>202.01999999999998</v>
      </c>
      <c r="F51" s="16">
        <f t="shared" si="22"/>
        <v>3.38</v>
      </c>
      <c r="G51" s="16">
        <f t="shared" si="22"/>
        <v>3.38</v>
      </c>
      <c r="H51" s="58">
        <f t="shared" si="22"/>
        <v>172550.19</v>
      </c>
      <c r="I51" s="16">
        <f t="shared" si="22"/>
        <v>2047.0830000000001</v>
      </c>
      <c r="J51" s="16">
        <f t="shared" si="22"/>
        <v>11.168000000000001</v>
      </c>
      <c r="K51" s="16">
        <f t="shared" si="22"/>
        <v>11.168000000000001</v>
      </c>
      <c r="L51" s="16">
        <f t="shared" si="22"/>
        <v>0</v>
      </c>
      <c r="M51" s="16">
        <f t="shared" si="22"/>
        <v>0</v>
      </c>
      <c r="N51" s="58">
        <f t="shared" si="22"/>
        <v>2058.2510000000002</v>
      </c>
      <c r="O51" s="16">
        <f t="shared" si="22"/>
        <v>4941.9440000000004</v>
      </c>
      <c r="P51" s="16">
        <f t="shared" si="22"/>
        <v>205.27999999999997</v>
      </c>
      <c r="Q51" s="16">
        <f t="shared" si="22"/>
        <v>205.27999999999997</v>
      </c>
      <c r="R51" s="16">
        <f t="shared" si="22"/>
        <v>73.03</v>
      </c>
      <c r="S51" s="16">
        <f t="shared" si="22"/>
        <v>73.03</v>
      </c>
      <c r="T51" s="58">
        <f t="shared" si="22"/>
        <v>5074.1939999999995</v>
      </c>
      <c r="U51" s="16">
        <f t="shared" si="22"/>
        <v>179682.63500000001</v>
      </c>
      <c r="V51" s="55"/>
      <c r="W51" s="55"/>
    </row>
    <row r="52" spans="1:23" s="23" customFormat="1" ht="42.75" hidden="1" customHeight="1">
      <c r="A52" s="19"/>
      <c r="B52" s="20"/>
      <c r="C52" s="10">
        <f>'March 2022'!H52</f>
        <v>0</v>
      </c>
      <c r="D52" s="21"/>
      <c r="E52" s="10">
        <f t="shared" si="0"/>
        <v>0</v>
      </c>
      <c r="F52" s="21"/>
      <c r="G52" s="10">
        <f t="shared" si="1"/>
        <v>0</v>
      </c>
      <c r="H52" s="21"/>
      <c r="I52" s="21"/>
      <c r="J52" s="21"/>
      <c r="K52" s="10">
        <f t="shared" si="3"/>
        <v>0</v>
      </c>
      <c r="L52" s="21"/>
      <c r="M52" s="10">
        <f t="shared" si="4"/>
        <v>0</v>
      </c>
      <c r="N52" s="21"/>
      <c r="O52" s="21"/>
      <c r="P52" s="21"/>
      <c r="Q52" s="10">
        <f t="shared" si="6"/>
        <v>0</v>
      </c>
      <c r="R52" s="21"/>
      <c r="S52" s="10">
        <f t="shared" si="7"/>
        <v>0</v>
      </c>
      <c r="T52" s="21"/>
      <c r="U52" s="21"/>
      <c r="V52" s="21"/>
      <c r="W52" s="21"/>
    </row>
    <row r="53" spans="1:23" s="23" customFormat="1" hidden="1">
      <c r="A53" s="19"/>
      <c r="B53" s="20"/>
      <c r="C53" s="10">
        <f>'March 2022'!H53</f>
        <v>0</v>
      </c>
      <c r="D53" s="21"/>
      <c r="E53" s="10">
        <f t="shared" si="0"/>
        <v>0</v>
      </c>
      <c r="F53" s="21"/>
      <c r="G53" s="10">
        <f t="shared" si="1"/>
        <v>0</v>
      </c>
      <c r="H53" s="21"/>
      <c r="I53" s="24"/>
      <c r="J53" s="21"/>
      <c r="K53" s="10">
        <f t="shared" si="3"/>
        <v>0</v>
      </c>
      <c r="L53" s="21"/>
      <c r="M53" s="10">
        <f t="shared" si="4"/>
        <v>0</v>
      </c>
      <c r="N53" s="21"/>
      <c r="O53" s="21"/>
      <c r="P53" s="24"/>
      <c r="Q53" s="10">
        <f t="shared" si="6"/>
        <v>0</v>
      </c>
      <c r="R53" s="21"/>
      <c r="S53" s="10">
        <f t="shared" si="7"/>
        <v>0</v>
      </c>
      <c r="T53" s="25"/>
      <c r="U53" s="21"/>
      <c r="V53" s="21"/>
      <c r="W53" s="21"/>
    </row>
    <row r="54" spans="1:23" s="23" customFormat="1">
      <c r="A54" s="19"/>
      <c r="B54" s="20"/>
      <c r="C54" s="21"/>
      <c r="D54" s="21"/>
      <c r="E54" s="22"/>
      <c r="F54" s="21"/>
      <c r="G54" s="21"/>
      <c r="H54" s="21"/>
      <c r="I54" s="24"/>
      <c r="J54" s="21"/>
      <c r="K54" s="22"/>
      <c r="L54" s="21"/>
      <c r="M54" s="24"/>
      <c r="N54" s="21" t="s">
        <v>66</v>
      </c>
      <c r="O54" s="21"/>
      <c r="P54" s="24"/>
      <c r="Q54" s="22"/>
      <c r="R54" s="21"/>
      <c r="S54" s="24"/>
      <c r="T54" s="25"/>
      <c r="U54" s="21"/>
      <c r="V54" s="21"/>
      <c r="W54" s="21"/>
    </row>
    <row r="55" spans="1:23" s="23" customFormat="1">
      <c r="A55" s="19"/>
      <c r="B55" s="20"/>
      <c r="C55" s="21"/>
      <c r="D55" s="21"/>
      <c r="E55" s="22"/>
      <c r="F55" s="21"/>
      <c r="G55" s="21"/>
      <c r="H55" s="21"/>
      <c r="I55" s="24"/>
      <c r="J55" s="21"/>
      <c r="K55" s="22"/>
      <c r="L55" s="21"/>
      <c r="M55" s="24"/>
      <c r="N55" s="21"/>
      <c r="O55" s="21"/>
      <c r="P55" s="24"/>
      <c r="Q55" s="22"/>
      <c r="R55" s="21"/>
      <c r="S55" s="24"/>
      <c r="T55" s="25"/>
      <c r="U55" s="21"/>
      <c r="V55" s="21"/>
      <c r="W55" s="21"/>
    </row>
    <row r="56" spans="1:23" s="17" customFormat="1" ht="57" customHeight="1">
      <c r="A56" s="26"/>
      <c r="B56" s="27"/>
      <c r="C56" s="28">
        <f>C50+C39+C25</f>
        <v>172351.55</v>
      </c>
      <c r="D56" s="112" t="s">
        <v>58</v>
      </c>
      <c r="E56" s="112"/>
      <c r="F56" s="112"/>
      <c r="G56" s="112"/>
      <c r="H56" s="55">
        <f>D51+J51+P51-F51-L51-R51</f>
        <v>342.05799999999999</v>
      </c>
      <c r="I56" s="55"/>
      <c r="J56" s="55"/>
      <c r="K56" s="55"/>
      <c r="L56" s="55"/>
      <c r="M56" s="55"/>
      <c r="N56" s="55"/>
      <c r="O56" s="29"/>
      <c r="P56" s="55"/>
      <c r="Q56" s="55"/>
      <c r="R56" s="55"/>
      <c r="S56" s="55"/>
      <c r="T56" s="55"/>
      <c r="U56" s="56"/>
      <c r="V56" s="56"/>
      <c r="W56" s="56"/>
    </row>
    <row r="57" spans="1:23" s="17" customFormat="1" ht="66" customHeight="1">
      <c r="A57" s="26"/>
      <c r="B57" s="27"/>
      <c r="C57" s="55"/>
      <c r="D57" s="112" t="s">
        <v>59</v>
      </c>
      <c r="E57" s="112"/>
      <c r="F57" s="112"/>
      <c r="G57" s="112"/>
      <c r="H57" s="55">
        <f>E51+K51+Q51-G51-M51-S51</f>
        <v>342.05799999999999</v>
      </c>
      <c r="I57" s="55"/>
      <c r="J57" s="55"/>
      <c r="K57" s="55"/>
      <c r="L57" s="55"/>
      <c r="M57" s="55"/>
      <c r="N57" s="55"/>
      <c r="O57" s="29"/>
      <c r="P57" s="55"/>
      <c r="Q57" s="55"/>
      <c r="R57" s="55"/>
      <c r="S57" s="55"/>
      <c r="T57" s="55"/>
      <c r="U57" s="56"/>
      <c r="V57" s="56"/>
      <c r="W57" s="56"/>
    </row>
    <row r="58" spans="1:23" ht="54" customHeight="1">
      <c r="C58" s="28"/>
      <c r="D58" s="112" t="s">
        <v>60</v>
      </c>
      <c r="E58" s="112"/>
      <c r="F58" s="112"/>
      <c r="G58" s="112"/>
      <c r="H58" s="55">
        <f>H51+N51+T51</f>
        <v>179682.63499999998</v>
      </c>
      <c r="I58" s="31"/>
      <c r="J58" s="31"/>
      <c r="K58" s="31"/>
      <c r="L58" s="32"/>
      <c r="M58" s="32"/>
      <c r="N58" s="45" t="e">
        <f>#REF!+'April 2022  '!H56</f>
        <v>#REF!</v>
      </c>
      <c r="O58" s="12"/>
      <c r="P58" s="31"/>
      <c r="Q58" s="31"/>
      <c r="T58" s="41"/>
      <c r="U58" s="12"/>
      <c r="V58" s="12"/>
      <c r="W58" s="12"/>
    </row>
    <row r="59" spans="1:23" ht="42.75" customHeight="1">
      <c r="C59" s="56"/>
      <c r="D59" s="56"/>
      <c r="E59" s="1"/>
      <c r="H59" s="31"/>
      <c r="J59" s="33" t="e">
        <f>#REF!+'April 2022  '!H56</f>
        <v>#REF!</v>
      </c>
      <c r="K59" s="31"/>
      <c r="L59" s="33" t="e">
        <f>#REF!+'April 2022  '!H56</f>
        <v>#REF!</v>
      </c>
      <c r="M59" s="31"/>
      <c r="O59" s="12"/>
    </row>
    <row r="60" spans="1:23" s="17" customFormat="1" ht="78.75" customHeight="1">
      <c r="B60" s="114" t="s">
        <v>61</v>
      </c>
      <c r="C60" s="114"/>
      <c r="D60" s="114"/>
      <c r="E60" s="114"/>
      <c r="F60" s="114"/>
      <c r="H60" s="1"/>
      <c r="I60" s="34" t="e">
        <f>#REF!+'April 2022  '!H56</f>
        <v>#REF!</v>
      </c>
      <c r="J60" s="1"/>
      <c r="K60" s="31"/>
      <c r="L60" s="31"/>
      <c r="M60" s="33">
        <f>'March 2022'!H58+'April 2022  '!H56</f>
        <v>179682.63499999995</v>
      </c>
      <c r="Q60" s="114" t="s">
        <v>62</v>
      </c>
      <c r="R60" s="114"/>
      <c r="S60" s="114"/>
      <c r="T60" s="114"/>
      <c r="U60" s="114"/>
    </row>
    <row r="61" spans="1:23" s="17" customFormat="1" ht="45.75" customHeight="1">
      <c r="B61" s="114" t="s">
        <v>63</v>
      </c>
      <c r="C61" s="114"/>
      <c r="D61" s="114"/>
      <c r="E61" s="114"/>
      <c r="F61" s="114"/>
      <c r="G61" s="35"/>
      <c r="H61" s="36">
        <f>'[1]feb 2021'!H58+'April 2022  '!H56</f>
        <v>177179.701</v>
      </c>
      <c r="I61" s="35"/>
      <c r="J61" s="28"/>
      <c r="K61" s="31"/>
      <c r="L61" s="31"/>
      <c r="M61" s="31"/>
      <c r="Q61" s="114" t="s">
        <v>63</v>
      </c>
      <c r="R61" s="114"/>
      <c r="S61" s="114"/>
      <c r="T61" s="114"/>
      <c r="U61" s="114"/>
    </row>
    <row r="62" spans="1:23" s="17" customFormat="1">
      <c r="B62" s="27"/>
      <c r="F62" s="37"/>
      <c r="I62" s="35"/>
      <c r="J62" s="37"/>
      <c r="Q62" s="56"/>
      <c r="R62" s="56"/>
      <c r="S62" s="2"/>
      <c r="T62" s="56"/>
      <c r="U62" s="56"/>
      <c r="V62" s="56"/>
      <c r="W62" s="56"/>
    </row>
    <row r="63" spans="1:23" s="17" customFormat="1" ht="61.5" customHeight="1">
      <c r="B63" s="27"/>
      <c r="G63" s="36">
        <f>'[1]May 2020'!H56+'April 2022  '!H56</f>
        <v>175073.019</v>
      </c>
      <c r="J63" s="113" t="s">
        <v>64</v>
      </c>
      <c r="K63" s="113"/>
      <c r="L63" s="113"/>
      <c r="O63" s="56"/>
      <c r="S63" s="37"/>
      <c r="U63" s="56"/>
      <c r="V63" s="56"/>
      <c r="W63" s="56"/>
    </row>
    <row r="64" spans="1:23" s="17" customFormat="1" ht="58.5" customHeight="1">
      <c r="B64" s="27"/>
      <c r="H64" s="1"/>
      <c r="J64" s="113" t="s">
        <v>65</v>
      </c>
      <c r="K64" s="113"/>
      <c r="L64" s="113"/>
      <c r="O64" s="56"/>
      <c r="S64" s="37"/>
      <c r="U64" s="56"/>
      <c r="V64" s="56"/>
      <c r="W64" s="56"/>
    </row>
    <row r="66" spans="2:23">
      <c r="G66" s="31"/>
      <c r="H66" s="33" t="e">
        <f>#REF!+'April 2022  '!H56</f>
        <v>#REF!</v>
      </c>
    </row>
    <row r="67" spans="2:23">
      <c r="H67" s="31"/>
      <c r="J67" s="31"/>
    </row>
    <row r="69" spans="2:23">
      <c r="B69" s="3"/>
      <c r="G69" s="38"/>
      <c r="O69" s="3"/>
      <c r="U69" s="3"/>
      <c r="V69" s="3"/>
      <c r="W69" s="3"/>
    </row>
  </sheetData>
  <mergeCells count="29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  <mergeCell ref="D57:G57"/>
    <mergeCell ref="H5:H6"/>
    <mergeCell ref="I5:I6"/>
    <mergeCell ref="J5:K5"/>
    <mergeCell ref="L5:M5"/>
    <mergeCell ref="D56:G56"/>
    <mergeCell ref="J64:L64"/>
    <mergeCell ref="D58:G58"/>
    <mergeCell ref="B60:F60"/>
    <mergeCell ref="Q60:U60"/>
    <mergeCell ref="B61:F61"/>
    <mergeCell ref="Q61:U61"/>
    <mergeCell ref="J63:L63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9"/>
  <sheetViews>
    <sheetView topLeftCell="A40" zoomScale="36" zoomScaleNormal="36" zoomScaleSheetLayoutView="25" workbookViewId="0">
      <selection activeCell="H17" sqref="H17"/>
    </sheetView>
  </sheetViews>
  <sheetFormatPr defaultRowHeight="33"/>
  <cols>
    <col min="1" max="1" width="16.7109375" style="3" customWidth="1"/>
    <col min="2" max="2" width="45.5703125" style="30" customWidth="1"/>
    <col min="3" max="3" width="36.5703125" style="3" customWidth="1"/>
    <col min="4" max="4" width="28.140625" style="3" customWidth="1"/>
    <col min="5" max="5" width="40.28515625" style="3" customWidth="1"/>
    <col min="6" max="6" width="32.42578125" style="3" customWidth="1"/>
    <col min="7" max="7" width="28.140625" style="3" customWidth="1"/>
    <col min="8" max="8" width="41.85546875" style="3" customWidth="1"/>
    <col min="9" max="9" width="29.5703125" style="3" customWidth="1"/>
    <col min="10" max="10" width="39.42578125" style="3" customWidth="1"/>
    <col min="11" max="11" width="28.140625" style="3" customWidth="1"/>
    <col min="12" max="12" width="36.7109375" style="3" customWidth="1"/>
    <col min="13" max="13" width="30.140625" style="3" customWidth="1"/>
    <col min="14" max="14" width="28.140625" style="3" customWidth="1"/>
    <col min="15" max="15" width="47.28515625" style="5" customWidth="1"/>
    <col min="16" max="16" width="32.7109375" style="3" customWidth="1"/>
    <col min="17" max="17" width="34.5703125" style="3" customWidth="1"/>
    <col min="18" max="18" width="36" style="3" customWidth="1"/>
    <col min="19" max="19" width="28.140625" style="6" customWidth="1"/>
    <col min="20" max="20" width="28.140625" style="3" customWidth="1"/>
    <col min="21" max="21" width="36.7109375" style="5" customWidth="1"/>
    <col min="22" max="23" width="26" style="5" customWidth="1"/>
    <col min="24" max="16384" width="9.140625" style="3"/>
  </cols>
  <sheetData>
    <row r="1" spans="1:183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2"/>
      <c r="W1" s="2"/>
    </row>
    <row r="2" spans="1:183" ht="7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2"/>
      <c r="W2" s="2"/>
    </row>
    <row r="3" spans="1:183" ht="35.25" customHeight="1">
      <c r="A3" s="110" t="s">
        <v>76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2"/>
      <c r="W3" s="2"/>
    </row>
    <row r="4" spans="1:183" s="6" customFormat="1" ht="32.25" customHeight="1">
      <c r="A4" s="110" t="s">
        <v>1</v>
      </c>
      <c r="B4" s="110" t="s">
        <v>2</v>
      </c>
      <c r="C4" s="110" t="s">
        <v>3</v>
      </c>
      <c r="D4" s="110"/>
      <c r="E4" s="110"/>
      <c r="F4" s="110"/>
      <c r="G4" s="110"/>
      <c r="H4" s="110"/>
      <c r="I4" s="110" t="s">
        <v>4</v>
      </c>
      <c r="J4" s="111"/>
      <c r="K4" s="111"/>
      <c r="L4" s="111"/>
      <c r="M4" s="111"/>
      <c r="N4" s="111"/>
      <c r="O4" s="110" t="s">
        <v>5</v>
      </c>
      <c r="P4" s="111"/>
      <c r="Q4" s="111"/>
      <c r="R4" s="111"/>
      <c r="S4" s="111"/>
      <c r="T4" s="111"/>
      <c r="U4" s="4"/>
      <c r="V4" s="5"/>
      <c r="W4" s="5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</row>
    <row r="5" spans="1:183" s="6" customFormat="1" ht="41.25" customHeight="1">
      <c r="A5" s="110"/>
      <c r="B5" s="110"/>
      <c r="C5" s="110" t="s">
        <v>6</v>
      </c>
      <c r="D5" s="110" t="s">
        <v>7</v>
      </c>
      <c r="E5" s="110"/>
      <c r="F5" s="110" t="s">
        <v>8</v>
      </c>
      <c r="G5" s="110"/>
      <c r="H5" s="110" t="s">
        <v>9</v>
      </c>
      <c r="I5" s="110" t="s">
        <v>6</v>
      </c>
      <c r="J5" s="110" t="s">
        <v>7</v>
      </c>
      <c r="K5" s="110"/>
      <c r="L5" s="110" t="s">
        <v>8</v>
      </c>
      <c r="M5" s="110"/>
      <c r="N5" s="110" t="s">
        <v>9</v>
      </c>
      <c r="O5" s="110" t="s">
        <v>10</v>
      </c>
      <c r="P5" s="110" t="s">
        <v>7</v>
      </c>
      <c r="Q5" s="110"/>
      <c r="R5" s="110" t="s">
        <v>8</v>
      </c>
      <c r="S5" s="110"/>
      <c r="T5" s="110" t="s">
        <v>9</v>
      </c>
      <c r="U5" s="110" t="s">
        <v>11</v>
      </c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s="6" customFormat="1" ht="60" customHeight="1">
      <c r="A6" s="110"/>
      <c r="B6" s="110"/>
      <c r="C6" s="110"/>
      <c r="D6" s="61" t="s">
        <v>12</v>
      </c>
      <c r="E6" s="61" t="s">
        <v>13</v>
      </c>
      <c r="F6" s="61" t="s">
        <v>12</v>
      </c>
      <c r="G6" s="61" t="s">
        <v>13</v>
      </c>
      <c r="H6" s="110"/>
      <c r="I6" s="110"/>
      <c r="J6" s="7" t="s">
        <v>12</v>
      </c>
      <c r="K6" s="61" t="s">
        <v>13</v>
      </c>
      <c r="L6" s="61" t="s">
        <v>12</v>
      </c>
      <c r="M6" s="61" t="s">
        <v>13</v>
      </c>
      <c r="N6" s="110"/>
      <c r="O6" s="110"/>
      <c r="P6" s="61" t="s">
        <v>12</v>
      </c>
      <c r="Q6" s="61" t="s">
        <v>13</v>
      </c>
      <c r="R6" s="61" t="s">
        <v>12</v>
      </c>
      <c r="S6" s="61" t="s">
        <v>13</v>
      </c>
      <c r="T6" s="110"/>
      <c r="U6" s="110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</row>
    <row r="7" spans="1:183" ht="42.75" customHeight="1">
      <c r="A7" s="8">
        <v>1</v>
      </c>
      <c r="B7" s="9" t="s">
        <v>14</v>
      </c>
      <c r="C7" s="10">
        <f>'April 2022  '!H7</f>
        <v>161.04000000000065</v>
      </c>
      <c r="D7" s="10">
        <v>47.73</v>
      </c>
      <c r="E7" s="10">
        <f>'April 2022  '!E7+'May 2022'!D7</f>
        <v>47.73</v>
      </c>
      <c r="F7" s="10">
        <v>0</v>
      </c>
      <c r="G7" s="10">
        <f>'April 2022  '!G7+'May 2022'!F7</f>
        <v>0</v>
      </c>
      <c r="H7" s="10">
        <f>C7+D7-F7</f>
        <v>208.77000000000064</v>
      </c>
      <c r="I7" s="10">
        <f>'April 2022  '!N7</f>
        <v>130.96499999999995</v>
      </c>
      <c r="J7" s="10">
        <v>0.46</v>
      </c>
      <c r="K7" s="10">
        <f>'April 2022  '!K7+'May 2022'!J7</f>
        <v>0.62</v>
      </c>
      <c r="L7" s="10">
        <v>0</v>
      </c>
      <c r="M7" s="10">
        <f>'April 2022  '!M7+'May 2022'!L7</f>
        <v>0</v>
      </c>
      <c r="N7" s="10">
        <f>I7+J7-L7</f>
        <v>131.42499999999995</v>
      </c>
      <c r="O7" s="11">
        <f>'April 2022  '!T7</f>
        <v>284.1400000000001</v>
      </c>
      <c r="P7" s="10">
        <v>0</v>
      </c>
      <c r="Q7" s="10">
        <f>'April 2022  '!Q7+'May 2022'!P7</f>
        <v>0.46</v>
      </c>
      <c r="R7" s="10">
        <v>0</v>
      </c>
      <c r="S7" s="10">
        <f>'April 2022  '!S7+'May 2022'!R7</f>
        <v>0</v>
      </c>
      <c r="T7" s="11">
        <f>O7+P7-R7</f>
        <v>284.1400000000001</v>
      </c>
      <c r="U7" s="11">
        <f>H7+N7+T7</f>
        <v>624.33500000000072</v>
      </c>
      <c r="V7" s="12"/>
      <c r="W7" s="12"/>
    </row>
    <row r="8" spans="1:183" ht="42.75" customHeight="1">
      <c r="A8" s="8">
        <v>2</v>
      </c>
      <c r="B8" s="9" t="s">
        <v>15</v>
      </c>
      <c r="C8" s="10">
        <f>'April 2022  '!H8</f>
        <v>497.47500000000002</v>
      </c>
      <c r="D8" s="10">
        <v>0.09</v>
      </c>
      <c r="E8" s="10">
        <f>'April 2022  '!E8+'May 2022'!D8</f>
        <v>0.09</v>
      </c>
      <c r="F8" s="10">
        <v>0</v>
      </c>
      <c r="G8" s="10">
        <f>'April 2022  '!G8+'May 2022'!F8</f>
        <v>0</v>
      </c>
      <c r="H8" s="10">
        <f t="shared" ref="H8:H53" si="0">C8+D8-F8</f>
        <v>497.565</v>
      </c>
      <c r="I8" s="10">
        <f>'April 2022  '!N8</f>
        <v>120.908</v>
      </c>
      <c r="J8" s="10">
        <v>0.32400000000000001</v>
      </c>
      <c r="K8" s="10">
        <f>'April 2022  '!K8+'May 2022'!J8</f>
        <v>1.202</v>
      </c>
      <c r="L8" s="10">
        <v>0</v>
      </c>
      <c r="M8" s="10">
        <f>'April 2022  '!M8+'May 2022'!L8</f>
        <v>0</v>
      </c>
      <c r="N8" s="10">
        <f t="shared" ref="N8:N48" si="1">I8+J8-L8</f>
        <v>121.232</v>
      </c>
      <c r="O8" s="11">
        <f>'April 2022  '!T8</f>
        <v>204.95000000000005</v>
      </c>
      <c r="P8" s="10">
        <v>17.32</v>
      </c>
      <c r="Q8" s="10">
        <f>'April 2022  '!Q8+'May 2022'!P8</f>
        <v>34.629999999999995</v>
      </c>
      <c r="R8" s="10">
        <v>0</v>
      </c>
      <c r="S8" s="10">
        <f>'April 2022  '!S8+'May 2022'!R8</f>
        <v>0</v>
      </c>
      <c r="T8" s="11">
        <f t="shared" ref="T8:T48" si="2">O8+P8-R8</f>
        <v>222.27000000000004</v>
      </c>
      <c r="U8" s="11">
        <f t="shared" ref="U8:U48" si="3">H8+N8+T8</f>
        <v>841.06700000000001</v>
      </c>
      <c r="V8" s="12"/>
      <c r="W8" s="12"/>
    </row>
    <row r="9" spans="1:183" ht="42.75" customHeight="1">
      <c r="A9" s="8">
        <v>3</v>
      </c>
      <c r="B9" s="9" t="s">
        <v>16</v>
      </c>
      <c r="C9" s="10">
        <f>'April 2022  '!H9</f>
        <v>743.9599999999997</v>
      </c>
      <c r="D9" s="10">
        <v>0</v>
      </c>
      <c r="E9" s="10">
        <f>'April 2022  '!E9+'May 2022'!D9</f>
        <v>0</v>
      </c>
      <c r="F9" s="10">
        <v>90</v>
      </c>
      <c r="G9" s="10">
        <f>'April 2022  '!G9+'May 2022'!F9</f>
        <v>90</v>
      </c>
      <c r="H9" s="10">
        <f t="shared" si="0"/>
        <v>653.9599999999997</v>
      </c>
      <c r="I9" s="10">
        <f>'April 2022  '!N9</f>
        <v>198.21300000000005</v>
      </c>
      <c r="J9" s="10">
        <f>0.59+0.42</f>
        <v>1.01</v>
      </c>
      <c r="K9" s="10">
        <f>'April 2022  '!K9+'May 2022'!J9</f>
        <v>1.8900000000000001</v>
      </c>
      <c r="L9" s="10">
        <v>0</v>
      </c>
      <c r="M9" s="10">
        <f>'April 2022  '!M9+'May 2022'!L9</f>
        <v>0</v>
      </c>
      <c r="N9" s="10">
        <f t="shared" si="1"/>
        <v>199.22300000000004</v>
      </c>
      <c r="O9" s="11">
        <f>'April 2022  '!T9</f>
        <v>157.63999999999999</v>
      </c>
      <c r="P9" s="10">
        <v>0</v>
      </c>
      <c r="Q9" s="10">
        <f>'April 2022  '!Q9+'May 2022'!P9</f>
        <v>16.2</v>
      </c>
      <c r="R9" s="10">
        <v>0</v>
      </c>
      <c r="S9" s="10">
        <f>'April 2022  '!S9+'May 2022'!R9</f>
        <v>0</v>
      </c>
      <c r="T9" s="11">
        <f t="shared" si="2"/>
        <v>157.63999999999999</v>
      </c>
      <c r="U9" s="11">
        <f t="shared" si="3"/>
        <v>1010.8229999999998</v>
      </c>
      <c r="V9" s="12"/>
      <c r="W9" s="12"/>
    </row>
    <row r="10" spans="1:183" ht="42.75" customHeight="1">
      <c r="A10" s="8">
        <v>4</v>
      </c>
      <c r="B10" s="13" t="s">
        <v>17</v>
      </c>
      <c r="C10" s="10">
        <f>'April 2022  '!H10</f>
        <v>0</v>
      </c>
      <c r="D10" s="10">
        <v>0</v>
      </c>
      <c r="E10" s="10">
        <f>'April 2022  '!E10+'May 2022'!D10</f>
        <v>0</v>
      </c>
      <c r="F10" s="10">
        <v>0</v>
      </c>
      <c r="G10" s="10">
        <f>'April 2022  '!G10+'May 2022'!F10</f>
        <v>0</v>
      </c>
      <c r="H10" s="10">
        <f t="shared" si="0"/>
        <v>0</v>
      </c>
      <c r="I10" s="10">
        <f>'April 2022  '!N10</f>
        <v>142.10400000000007</v>
      </c>
      <c r="J10" s="10">
        <v>0.15</v>
      </c>
      <c r="K10" s="10">
        <f>'April 2022  '!K10+'May 2022'!J10</f>
        <v>0.22</v>
      </c>
      <c r="L10" s="10">
        <v>0</v>
      </c>
      <c r="M10" s="10">
        <f>'April 2022  '!M10+'May 2022'!L10</f>
        <v>0</v>
      </c>
      <c r="N10" s="10">
        <f t="shared" si="1"/>
        <v>142.25400000000008</v>
      </c>
      <c r="O10" s="11">
        <f>'April 2022  '!T10</f>
        <v>233.16999999999996</v>
      </c>
      <c r="P10" s="10">
        <v>0</v>
      </c>
      <c r="Q10" s="10">
        <f>'April 2022  '!Q10+'May 2022'!P10</f>
        <v>0</v>
      </c>
      <c r="R10" s="10">
        <v>0</v>
      </c>
      <c r="S10" s="10">
        <f>'April 2022  '!S10+'May 2022'!R10</f>
        <v>0</v>
      </c>
      <c r="T10" s="11">
        <f t="shared" si="2"/>
        <v>233.16999999999996</v>
      </c>
      <c r="U10" s="11">
        <f t="shared" si="3"/>
        <v>375.42400000000004</v>
      </c>
      <c r="V10" s="12"/>
      <c r="W10" s="12"/>
    </row>
    <row r="11" spans="1:183" s="17" customFormat="1" ht="42.75" customHeight="1">
      <c r="A11" s="14"/>
      <c r="B11" s="15" t="s">
        <v>18</v>
      </c>
      <c r="C11" s="16">
        <f>SUM(C7:C10)</f>
        <v>1402.4750000000004</v>
      </c>
      <c r="D11" s="16">
        <f t="shared" ref="D11:U11" si="4">SUM(D7:D10)</f>
        <v>47.82</v>
      </c>
      <c r="E11" s="16">
        <f t="shared" si="4"/>
        <v>47.82</v>
      </c>
      <c r="F11" s="16">
        <f t="shared" si="4"/>
        <v>90</v>
      </c>
      <c r="G11" s="16">
        <f t="shared" si="4"/>
        <v>90</v>
      </c>
      <c r="H11" s="16">
        <f t="shared" si="4"/>
        <v>1360.2950000000003</v>
      </c>
      <c r="I11" s="16">
        <f t="shared" si="4"/>
        <v>592.19000000000005</v>
      </c>
      <c r="J11" s="16">
        <f t="shared" si="4"/>
        <v>1.944</v>
      </c>
      <c r="K11" s="16">
        <f t="shared" si="4"/>
        <v>3.9320000000000004</v>
      </c>
      <c r="L11" s="16">
        <f t="shared" si="4"/>
        <v>0</v>
      </c>
      <c r="M11" s="16">
        <f t="shared" si="4"/>
        <v>0</v>
      </c>
      <c r="N11" s="16">
        <f t="shared" si="4"/>
        <v>594.13400000000001</v>
      </c>
      <c r="O11" s="16">
        <f t="shared" si="4"/>
        <v>879.90000000000009</v>
      </c>
      <c r="P11" s="16">
        <f t="shared" si="4"/>
        <v>17.32</v>
      </c>
      <c r="Q11" s="16">
        <f t="shared" si="4"/>
        <v>51.289999999999992</v>
      </c>
      <c r="R11" s="16">
        <f t="shared" si="4"/>
        <v>0</v>
      </c>
      <c r="S11" s="16">
        <f t="shared" si="4"/>
        <v>0</v>
      </c>
      <c r="T11" s="16">
        <f t="shared" si="4"/>
        <v>897.22000000000014</v>
      </c>
      <c r="U11" s="16">
        <f t="shared" si="4"/>
        <v>2851.6490000000003</v>
      </c>
      <c r="V11" s="59"/>
      <c r="W11" s="59"/>
    </row>
    <row r="12" spans="1:183" ht="42.75" customHeight="1">
      <c r="A12" s="8">
        <v>5</v>
      </c>
      <c r="B12" s="9" t="s">
        <v>19</v>
      </c>
      <c r="C12" s="10">
        <f>'April 2022  '!H12</f>
        <v>1653.4899999999991</v>
      </c>
      <c r="D12" s="10">
        <v>0</v>
      </c>
      <c r="E12" s="10">
        <f>'April 2022  '!E12+'May 2022'!D12</f>
        <v>0</v>
      </c>
      <c r="F12" s="10">
        <v>0</v>
      </c>
      <c r="G12" s="10">
        <f>'April 2022  '!G12+'May 2022'!F12</f>
        <v>0</v>
      </c>
      <c r="H12" s="10">
        <f t="shared" si="0"/>
        <v>1653.4899999999991</v>
      </c>
      <c r="I12" s="10">
        <f>'April 2022  '!N12</f>
        <v>121.69300000000001</v>
      </c>
      <c r="J12" s="10">
        <v>0.4</v>
      </c>
      <c r="K12" s="10">
        <f>'April 2022  '!K12+'May 2022'!J12</f>
        <v>0.46</v>
      </c>
      <c r="L12" s="10">
        <v>0</v>
      </c>
      <c r="M12" s="10">
        <f>'April 2022  '!M12+'May 2022'!L12</f>
        <v>0</v>
      </c>
      <c r="N12" s="10">
        <f t="shared" si="1"/>
        <v>122.09300000000002</v>
      </c>
      <c r="O12" s="11">
        <f>'April 2022  '!T12</f>
        <v>610.4</v>
      </c>
      <c r="P12" s="10">
        <v>0</v>
      </c>
      <c r="Q12" s="10">
        <f>'April 2022  '!Q12+'May 2022'!P12</f>
        <v>31.49</v>
      </c>
      <c r="R12" s="10">
        <v>0</v>
      </c>
      <c r="S12" s="10">
        <f>'April 2022  '!S12+'May 2022'!R12</f>
        <v>0</v>
      </c>
      <c r="T12" s="11">
        <f t="shared" si="2"/>
        <v>610.4</v>
      </c>
      <c r="U12" s="11">
        <f t="shared" si="3"/>
        <v>2385.9829999999993</v>
      </c>
      <c r="V12" s="12"/>
      <c r="W12" s="12"/>
    </row>
    <row r="13" spans="1:183" ht="42.75" customHeight="1">
      <c r="A13" s="8">
        <v>6</v>
      </c>
      <c r="B13" s="9" t="s">
        <v>20</v>
      </c>
      <c r="C13" s="10">
        <f>'April 2022  '!H13</f>
        <v>1023.7699999999998</v>
      </c>
      <c r="D13" s="10">
        <v>0</v>
      </c>
      <c r="E13" s="10">
        <f>'April 2022  '!E13+'May 2022'!D13</f>
        <v>0</v>
      </c>
      <c r="F13" s="10">
        <v>0</v>
      </c>
      <c r="G13" s="10">
        <f>'April 2022  '!G13+'May 2022'!F13</f>
        <v>0</v>
      </c>
      <c r="H13" s="10">
        <f t="shared" si="0"/>
        <v>1023.7699999999998</v>
      </c>
      <c r="I13" s="10">
        <f>'April 2022  '!N13</f>
        <v>148.83400000000009</v>
      </c>
      <c r="J13" s="10">
        <v>1.1200000000000001</v>
      </c>
      <c r="K13" s="10">
        <f>'April 2022  '!K13+'May 2022'!J13</f>
        <v>1.6400000000000001</v>
      </c>
      <c r="L13" s="10">
        <v>0</v>
      </c>
      <c r="M13" s="10">
        <f>'April 2022  '!M13+'May 2022'!L13</f>
        <v>0</v>
      </c>
      <c r="N13" s="10">
        <f t="shared" si="1"/>
        <v>149.95400000000009</v>
      </c>
      <c r="O13" s="11">
        <f>'April 2022  '!T13</f>
        <v>87.2</v>
      </c>
      <c r="P13" s="10">
        <v>0</v>
      </c>
      <c r="Q13" s="10">
        <f>'April 2022  '!Q13+'May 2022'!P13</f>
        <v>0.67</v>
      </c>
      <c r="R13" s="10">
        <v>0</v>
      </c>
      <c r="S13" s="10">
        <f>'April 2022  '!S13+'May 2022'!R13</f>
        <v>0</v>
      </c>
      <c r="T13" s="11">
        <f t="shared" si="2"/>
        <v>87.2</v>
      </c>
      <c r="U13" s="11">
        <f t="shared" si="3"/>
        <v>1260.924</v>
      </c>
      <c r="V13" s="12"/>
      <c r="W13" s="12"/>
    </row>
    <row r="14" spans="1:183" ht="42.75" customHeight="1">
      <c r="A14" s="8">
        <v>7</v>
      </c>
      <c r="B14" s="9" t="s">
        <v>21</v>
      </c>
      <c r="C14" s="10">
        <f>'April 2022  '!H14</f>
        <v>2084.5799999999995</v>
      </c>
      <c r="D14" s="10">
        <v>0</v>
      </c>
      <c r="E14" s="10">
        <f>'April 2022  '!E14+'May 2022'!D14</f>
        <v>0</v>
      </c>
      <c r="F14" s="10">
        <v>0</v>
      </c>
      <c r="G14" s="10">
        <f>'April 2022  '!G14+'May 2022'!F14</f>
        <v>0</v>
      </c>
      <c r="H14" s="10">
        <f t="shared" si="0"/>
        <v>2084.5799999999995</v>
      </c>
      <c r="I14" s="10">
        <f>'April 2022  '!N14</f>
        <v>194.39399999999998</v>
      </c>
      <c r="J14" s="10">
        <v>0.28999999999999998</v>
      </c>
      <c r="K14" s="10">
        <f>'April 2022  '!K14+'May 2022'!J14</f>
        <v>0.83000000000000007</v>
      </c>
      <c r="L14" s="10">
        <v>0</v>
      </c>
      <c r="M14" s="10">
        <f>'April 2022  '!M14+'May 2022'!L14</f>
        <v>0</v>
      </c>
      <c r="N14" s="10">
        <f t="shared" si="1"/>
        <v>194.68399999999997</v>
      </c>
      <c r="O14" s="11">
        <f>'April 2022  '!T14</f>
        <v>383.76999999999992</v>
      </c>
      <c r="P14" s="10">
        <v>0.12</v>
      </c>
      <c r="Q14" s="10">
        <f>'April 2022  '!Q14+'May 2022'!P14</f>
        <v>31.73</v>
      </c>
      <c r="R14" s="10">
        <v>0</v>
      </c>
      <c r="S14" s="10">
        <f>'April 2022  '!S14+'May 2022'!R14</f>
        <v>0</v>
      </c>
      <c r="T14" s="11">
        <f t="shared" si="2"/>
        <v>383.88999999999993</v>
      </c>
      <c r="U14" s="11">
        <f t="shared" si="3"/>
        <v>2663.1539999999991</v>
      </c>
      <c r="V14" s="12"/>
      <c r="W14" s="12"/>
    </row>
    <row r="15" spans="1:183" s="17" customFormat="1" ht="42.75" customHeight="1">
      <c r="A15" s="14" t="s">
        <v>22</v>
      </c>
      <c r="B15" s="15" t="s">
        <v>23</v>
      </c>
      <c r="C15" s="16">
        <f>SUM(C12:C14)</f>
        <v>4761.8399999999983</v>
      </c>
      <c r="D15" s="16">
        <f t="shared" ref="D15:U15" si="5">SUM(D12:D14)</f>
        <v>0</v>
      </c>
      <c r="E15" s="16">
        <f t="shared" si="5"/>
        <v>0</v>
      </c>
      <c r="F15" s="16">
        <f t="shared" si="5"/>
        <v>0</v>
      </c>
      <c r="G15" s="16">
        <f t="shared" si="5"/>
        <v>0</v>
      </c>
      <c r="H15" s="16">
        <f t="shared" si="5"/>
        <v>4761.8399999999983</v>
      </c>
      <c r="I15" s="16">
        <f t="shared" si="5"/>
        <v>464.92100000000005</v>
      </c>
      <c r="J15" s="16">
        <f t="shared" si="5"/>
        <v>1.81</v>
      </c>
      <c r="K15" s="16">
        <f t="shared" si="5"/>
        <v>2.93</v>
      </c>
      <c r="L15" s="16">
        <f t="shared" si="5"/>
        <v>0</v>
      </c>
      <c r="M15" s="16">
        <f t="shared" si="5"/>
        <v>0</v>
      </c>
      <c r="N15" s="16">
        <f t="shared" si="5"/>
        <v>466.73100000000011</v>
      </c>
      <c r="O15" s="16">
        <f t="shared" si="5"/>
        <v>1081.3699999999999</v>
      </c>
      <c r="P15" s="16">
        <f t="shared" si="5"/>
        <v>0.12</v>
      </c>
      <c r="Q15" s="16">
        <f t="shared" si="5"/>
        <v>63.89</v>
      </c>
      <c r="R15" s="16">
        <f t="shared" si="5"/>
        <v>0</v>
      </c>
      <c r="S15" s="16">
        <f t="shared" si="5"/>
        <v>0</v>
      </c>
      <c r="T15" s="16">
        <f t="shared" si="5"/>
        <v>1081.49</v>
      </c>
      <c r="U15" s="16">
        <f t="shared" si="5"/>
        <v>6310.0609999999979</v>
      </c>
      <c r="V15" s="59"/>
      <c r="W15" s="59"/>
    </row>
    <row r="16" spans="1:183" ht="42.75" customHeight="1">
      <c r="A16" s="8">
        <v>8</v>
      </c>
      <c r="B16" s="9" t="s">
        <v>24</v>
      </c>
      <c r="C16" s="10">
        <f>'April 2022  '!H16</f>
        <v>1746.7819999999992</v>
      </c>
      <c r="D16" s="10">
        <v>0.92</v>
      </c>
      <c r="E16" s="10">
        <f>'April 2022  '!E16+'May 2022'!D16</f>
        <v>1.0900000000000001</v>
      </c>
      <c r="F16" s="10">
        <v>0.75</v>
      </c>
      <c r="G16" s="10">
        <f>'April 2022  '!G16+'May 2022'!F16</f>
        <v>0.75</v>
      </c>
      <c r="H16" s="10">
        <f t="shared" si="0"/>
        <v>1746.9519999999993</v>
      </c>
      <c r="I16" s="10">
        <f>'April 2022  '!N16</f>
        <v>111.07000000000002</v>
      </c>
      <c r="J16" s="10">
        <v>0.05</v>
      </c>
      <c r="K16" s="10">
        <f>'April 2022  '!K16+'May 2022'!J16</f>
        <v>0.1</v>
      </c>
      <c r="L16" s="10">
        <v>0</v>
      </c>
      <c r="M16" s="10">
        <f>'April 2022  '!M16+'May 2022'!L16</f>
        <v>0</v>
      </c>
      <c r="N16" s="10">
        <f t="shared" si="1"/>
        <v>111.12000000000002</v>
      </c>
      <c r="O16" s="11">
        <f>'April 2022  '!T16</f>
        <v>111.62899999999999</v>
      </c>
      <c r="P16" s="10">
        <v>0.57999999999999996</v>
      </c>
      <c r="Q16" s="10">
        <f>'April 2022  '!Q16+'May 2022'!P16</f>
        <v>0.80999999999999994</v>
      </c>
      <c r="R16" s="10">
        <v>0</v>
      </c>
      <c r="S16" s="10">
        <f>'April 2022  '!S16+'May 2022'!R16</f>
        <v>0</v>
      </c>
      <c r="T16" s="11">
        <f t="shared" si="2"/>
        <v>112.20899999999999</v>
      </c>
      <c r="U16" s="11">
        <f t="shared" si="3"/>
        <v>1970.2809999999995</v>
      </c>
      <c r="V16" s="12"/>
      <c r="W16" s="12"/>
    </row>
    <row r="17" spans="1:23" ht="57.75" customHeight="1">
      <c r="A17" s="8">
        <v>9</v>
      </c>
      <c r="B17" s="9" t="s">
        <v>25</v>
      </c>
      <c r="C17" s="10">
        <f>'April 2022  '!H17</f>
        <v>199.43399999999986</v>
      </c>
      <c r="D17" s="10">
        <v>0</v>
      </c>
      <c r="E17" s="10">
        <f>'April 2022  '!E17+'May 2022'!D17</f>
        <v>0</v>
      </c>
      <c r="F17" s="10">
        <v>0</v>
      </c>
      <c r="G17" s="10">
        <f>'April 2022  '!G17+'May 2022'!F17</f>
        <v>0</v>
      </c>
      <c r="H17" s="10">
        <f t="shared" si="0"/>
        <v>199.43399999999986</v>
      </c>
      <c r="I17" s="10">
        <f>'April 2022  '!N17</f>
        <v>22.086999999999993</v>
      </c>
      <c r="J17" s="10">
        <v>1</v>
      </c>
      <c r="K17" s="10">
        <f>'April 2022  '!K17+'May 2022'!J17</f>
        <v>1.01</v>
      </c>
      <c r="L17" s="10">
        <v>0</v>
      </c>
      <c r="M17" s="10">
        <f>'April 2022  '!M17+'May 2022'!L17</f>
        <v>0</v>
      </c>
      <c r="N17" s="10">
        <f t="shared" si="1"/>
        <v>23.086999999999993</v>
      </c>
      <c r="O17" s="11">
        <f>'April 2022  '!T17</f>
        <v>430.20100000000002</v>
      </c>
      <c r="P17" s="10">
        <v>0</v>
      </c>
      <c r="Q17" s="10">
        <f>'April 2022  '!Q17+'May 2022'!P17</f>
        <v>21.93</v>
      </c>
      <c r="R17" s="10">
        <v>0</v>
      </c>
      <c r="S17" s="10">
        <f>'April 2022  '!S17+'May 2022'!R17</f>
        <v>0</v>
      </c>
      <c r="T17" s="11">
        <f t="shared" si="2"/>
        <v>430.20100000000002</v>
      </c>
      <c r="U17" s="11">
        <f t="shared" si="3"/>
        <v>652.72199999999987</v>
      </c>
      <c r="V17" s="12"/>
      <c r="W17" s="12"/>
    </row>
    <row r="18" spans="1:23" ht="42.75" customHeight="1">
      <c r="A18" s="8">
        <v>10</v>
      </c>
      <c r="B18" s="9" t="s">
        <v>26</v>
      </c>
      <c r="C18" s="10">
        <f>'April 2022  '!H18</f>
        <v>669.86499999999933</v>
      </c>
      <c r="D18" s="10">
        <v>0</v>
      </c>
      <c r="E18" s="10">
        <f>'April 2022  '!E18+'May 2022'!D18</f>
        <v>0</v>
      </c>
      <c r="F18" s="10">
        <v>0</v>
      </c>
      <c r="G18" s="10">
        <f>'April 2022  '!G18+'May 2022'!F18</f>
        <v>0</v>
      </c>
      <c r="H18" s="10">
        <f t="shared" si="0"/>
        <v>669.86499999999933</v>
      </c>
      <c r="I18" s="10">
        <f>'April 2022  '!N18</f>
        <v>16.839999999999989</v>
      </c>
      <c r="J18" s="10">
        <v>0</v>
      </c>
      <c r="K18" s="10">
        <f>'April 2022  '!K18+'May 2022'!J18</f>
        <v>0.47</v>
      </c>
      <c r="L18" s="10">
        <v>0</v>
      </c>
      <c r="M18" s="10">
        <f>'April 2022  '!M18+'May 2022'!L18</f>
        <v>0</v>
      </c>
      <c r="N18" s="10">
        <f t="shared" si="1"/>
        <v>16.839999999999989</v>
      </c>
      <c r="O18" s="11">
        <f>'April 2022  '!T18</f>
        <v>217.12799999999999</v>
      </c>
      <c r="P18" s="10">
        <v>0</v>
      </c>
      <c r="Q18" s="10">
        <f>'April 2022  '!Q18+'May 2022'!P18</f>
        <v>22.229999999999997</v>
      </c>
      <c r="R18" s="10">
        <v>0</v>
      </c>
      <c r="S18" s="10">
        <f>'April 2022  '!S18+'May 2022'!R18</f>
        <v>0</v>
      </c>
      <c r="T18" s="11">
        <f t="shared" si="2"/>
        <v>217.12799999999999</v>
      </c>
      <c r="U18" s="11">
        <f t="shared" si="3"/>
        <v>903.8329999999994</v>
      </c>
      <c r="V18" s="12"/>
      <c r="W18" s="12"/>
    </row>
    <row r="19" spans="1:23" s="17" customFormat="1" ht="42.75" customHeight="1">
      <c r="A19" s="14"/>
      <c r="B19" s="15" t="s">
        <v>27</v>
      </c>
      <c r="C19" s="16">
        <f>SUM(C16:C18)</f>
        <v>2616.0809999999983</v>
      </c>
      <c r="D19" s="16">
        <f t="shared" ref="D19:U19" si="6">SUM(D16:D18)</f>
        <v>0.92</v>
      </c>
      <c r="E19" s="16">
        <f t="shared" si="6"/>
        <v>1.0900000000000001</v>
      </c>
      <c r="F19" s="16">
        <f t="shared" si="6"/>
        <v>0.75</v>
      </c>
      <c r="G19" s="16">
        <f t="shared" si="6"/>
        <v>0.75</v>
      </c>
      <c r="H19" s="16">
        <f t="shared" si="6"/>
        <v>2616.2509999999984</v>
      </c>
      <c r="I19" s="16">
        <f t="shared" si="6"/>
        <v>149.99700000000001</v>
      </c>
      <c r="J19" s="16">
        <f t="shared" si="6"/>
        <v>1.05</v>
      </c>
      <c r="K19" s="16">
        <f t="shared" si="6"/>
        <v>1.58</v>
      </c>
      <c r="L19" s="16">
        <f t="shared" si="6"/>
        <v>0</v>
      </c>
      <c r="M19" s="16">
        <f t="shared" si="6"/>
        <v>0</v>
      </c>
      <c r="N19" s="16">
        <f t="shared" si="6"/>
        <v>151.04700000000003</v>
      </c>
      <c r="O19" s="16">
        <f t="shared" si="6"/>
        <v>758.95800000000008</v>
      </c>
      <c r="P19" s="16">
        <f t="shared" si="6"/>
        <v>0.57999999999999996</v>
      </c>
      <c r="Q19" s="16">
        <f t="shared" si="6"/>
        <v>44.97</v>
      </c>
      <c r="R19" s="16">
        <f t="shared" si="6"/>
        <v>0</v>
      </c>
      <c r="S19" s="16">
        <f t="shared" si="6"/>
        <v>0</v>
      </c>
      <c r="T19" s="16">
        <f t="shared" si="6"/>
        <v>759.53800000000001</v>
      </c>
      <c r="U19" s="16">
        <f t="shared" si="6"/>
        <v>3526.8359999999984</v>
      </c>
      <c r="V19" s="59"/>
      <c r="W19" s="59"/>
    </row>
    <row r="20" spans="1:23" ht="42.75" customHeight="1">
      <c r="A20" s="8">
        <v>11</v>
      </c>
      <c r="B20" s="9" t="s">
        <v>28</v>
      </c>
      <c r="C20" s="10">
        <f>'April 2022  '!H20</f>
        <v>1204.3949999999993</v>
      </c>
      <c r="D20" s="10">
        <v>0</v>
      </c>
      <c r="E20" s="10">
        <f>'April 2022  '!E20+'May 2022'!D20</f>
        <v>0.85</v>
      </c>
      <c r="F20" s="10">
        <v>0</v>
      </c>
      <c r="G20" s="10">
        <f>'April 2022  '!G20+'May 2022'!F20</f>
        <v>0</v>
      </c>
      <c r="H20" s="10">
        <f t="shared" si="0"/>
        <v>1204.3949999999993</v>
      </c>
      <c r="I20" s="10">
        <f>'April 2022  '!N20</f>
        <v>152.70100000000002</v>
      </c>
      <c r="J20" s="10">
        <v>0.43</v>
      </c>
      <c r="K20" s="10">
        <f>'April 2022  '!K20+'May 2022'!J20</f>
        <v>0.83000000000000007</v>
      </c>
      <c r="L20" s="10">
        <v>0</v>
      </c>
      <c r="M20" s="10">
        <f>'April 2022  '!M20+'May 2022'!L20</f>
        <v>0</v>
      </c>
      <c r="N20" s="10">
        <f t="shared" si="1"/>
        <v>153.13100000000003</v>
      </c>
      <c r="O20" s="11">
        <f>'April 2022  '!T20</f>
        <v>344.64099999999991</v>
      </c>
      <c r="P20" s="10">
        <v>0</v>
      </c>
      <c r="Q20" s="10">
        <f>'April 2022  '!Q20+'May 2022'!P20</f>
        <v>2.71</v>
      </c>
      <c r="R20" s="10">
        <v>0</v>
      </c>
      <c r="S20" s="10">
        <f>'April 2022  '!S20+'May 2022'!R20</f>
        <v>0</v>
      </c>
      <c r="T20" s="11">
        <f t="shared" si="2"/>
        <v>344.64099999999991</v>
      </c>
      <c r="U20" s="11">
        <f t="shared" si="3"/>
        <v>1702.1669999999992</v>
      </c>
      <c r="V20" s="12"/>
      <c r="W20" s="12"/>
    </row>
    <row r="21" spans="1:23" ht="42.75" customHeight="1">
      <c r="A21" s="8">
        <v>12</v>
      </c>
      <c r="B21" s="9" t="s">
        <v>29</v>
      </c>
      <c r="C21" s="10">
        <f>'April 2022  '!H21</f>
        <v>142.68999999999988</v>
      </c>
      <c r="D21" s="10">
        <v>0</v>
      </c>
      <c r="E21" s="10">
        <f>'April 2022  '!E21+'May 2022'!D21</f>
        <v>0</v>
      </c>
      <c r="F21" s="10">
        <v>0</v>
      </c>
      <c r="G21" s="10">
        <f>'April 2022  '!G21+'May 2022'!F21</f>
        <v>0</v>
      </c>
      <c r="H21" s="10">
        <f t="shared" si="0"/>
        <v>142.68999999999988</v>
      </c>
      <c r="I21" s="10">
        <f>'April 2022  '!N21</f>
        <v>50.413000000000018</v>
      </c>
      <c r="J21" s="10">
        <v>0.02</v>
      </c>
      <c r="K21" s="10">
        <f>'April 2022  '!K21+'May 2022'!J21</f>
        <v>0.27</v>
      </c>
      <c r="L21" s="10">
        <v>0</v>
      </c>
      <c r="M21" s="10">
        <f>'April 2022  '!M21+'May 2022'!L21</f>
        <v>0</v>
      </c>
      <c r="N21" s="10">
        <f t="shared" si="1"/>
        <v>50.433000000000021</v>
      </c>
      <c r="O21" s="11">
        <f>'April 2022  '!T21</f>
        <v>266.5</v>
      </c>
      <c r="P21" s="10">
        <v>0</v>
      </c>
      <c r="Q21" s="10">
        <f>'April 2022  '!Q21+'May 2022'!P21</f>
        <v>0</v>
      </c>
      <c r="R21" s="10">
        <v>0</v>
      </c>
      <c r="S21" s="10">
        <f>'April 2022  '!S21+'May 2022'!R21</f>
        <v>0</v>
      </c>
      <c r="T21" s="11">
        <f t="shared" si="2"/>
        <v>266.5</v>
      </c>
      <c r="U21" s="11">
        <f t="shared" si="3"/>
        <v>459.62299999999993</v>
      </c>
      <c r="V21" s="12"/>
      <c r="W21" s="12"/>
    </row>
    <row r="22" spans="1:23" ht="42.75" customHeight="1">
      <c r="A22" s="8">
        <v>13</v>
      </c>
      <c r="B22" s="9" t="s">
        <v>30</v>
      </c>
      <c r="C22" s="10">
        <f>'April 2022  '!H22</f>
        <v>27.069999999999879</v>
      </c>
      <c r="D22" s="10">
        <v>0</v>
      </c>
      <c r="E22" s="10">
        <f>'April 2022  '!E22+'May 2022'!D22</f>
        <v>0</v>
      </c>
      <c r="F22" s="10">
        <v>0</v>
      </c>
      <c r="G22" s="10">
        <f>'April 2022  '!G22+'May 2022'!F22</f>
        <v>0</v>
      </c>
      <c r="H22" s="10">
        <f t="shared" si="0"/>
        <v>27.069999999999879</v>
      </c>
      <c r="I22" s="10">
        <f>'April 2022  '!N22</f>
        <v>15.600000000000005</v>
      </c>
      <c r="J22" s="10">
        <v>0.02</v>
      </c>
      <c r="K22" s="10">
        <f>'April 2022  '!K22+'May 2022'!J22</f>
        <v>0.02</v>
      </c>
      <c r="L22" s="10">
        <v>0</v>
      </c>
      <c r="M22" s="10">
        <f>'April 2022  '!M22+'May 2022'!L22</f>
        <v>0</v>
      </c>
      <c r="N22" s="10">
        <f t="shared" si="1"/>
        <v>15.620000000000005</v>
      </c>
      <c r="O22" s="11">
        <f>'April 2022  '!T22</f>
        <v>671.81</v>
      </c>
      <c r="P22" s="10">
        <v>0.14000000000000001</v>
      </c>
      <c r="Q22" s="10">
        <f>'April 2022  '!Q22+'May 2022'!P22</f>
        <v>0.44</v>
      </c>
      <c r="R22" s="10">
        <v>0</v>
      </c>
      <c r="S22" s="10">
        <f>'April 2022  '!S22+'May 2022'!R22</f>
        <v>0</v>
      </c>
      <c r="T22" s="11">
        <f t="shared" si="2"/>
        <v>671.94999999999993</v>
      </c>
      <c r="U22" s="11">
        <f t="shared" si="3"/>
        <v>714.63999999999987</v>
      </c>
      <c r="V22" s="12"/>
      <c r="W22" s="12"/>
    </row>
    <row r="23" spans="1:23" ht="42.75" customHeight="1">
      <c r="A23" s="8">
        <v>14</v>
      </c>
      <c r="B23" s="9" t="s">
        <v>31</v>
      </c>
      <c r="C23" s="10">
        <f>'April 2022  '!H23</f>
        <v>1182.1419999999998</v>
      </c>
      <c r="D23" s="10">
        <v>0.52</v>
      </c>
      <c r="E23" s="10">
        <f>'April 2022  '!E23+'May 2022'!D23</f>
        <v>9.6999999999999993</v>
      </c>
      <c r="F23" s="10">
        <v>0</v>
      </c>
      <c r="G23" s="10">
        <f>'April 2022  '!G23+'May 2022'!F23</f>
        <v>0</v>
      </c>
      <c r="H23" s="10">
        <f t="shared" si="0"/>
        <v>1182.6619999999998</v>
      </c>
      <c r="I23" s="10">
        <f>'April 2022  '!N23</f>
        <v>15.613999999999997</v>
      </c>
      <c r="J23" s="10">
        <v>0.08</v>
      </c>
      <c r="K23" s="10">
        <f>'April 2022  '!K23+'May 2022'!J23</f>
        <v>0.4</v>
      </c>
      <c r="L23" s="10">
        <v>0</v>
      </c>
      <c r="M23" s="10">
        <f>'April 2022  '!M23+'May 2022'!L23</f>
        <v>0</v>
      </c>
      <c r="N23" s="10">
        <f t="shared" si="1"/>
        <v>15.693999999999997</v>
      </c>
      <c r="O23" s="11">
        <f>'April 2022  '!T23</f>
        <v>167.285</v>
      </c>
      <c r="P23" s="10">
        <v>81.650000000000006</v>
      </c>
      <c r="Q23" s="10">
        <f>'April 2022  '!Q23+'May 2022'!P23</f>
        <v>81.650000000000006</v>
      </c>
      <c r="R23" s="10">
        <v>0</v>
      </c>
      <c r="S23" s="10">
        <f>'April 2022  '!S23+'May 2022'!R23</f>
        <v>0</v>
      </c>
      <c r="T23" s="11">
        <f t="shared" si="2"/>
        <v>248.935</v>
      </c>
      <c r="U23" s="11">
        <f t="shared" si="3"/>
        <v>1447.2909999999997</v>
      </c>
      <c r="V23" s="12"/>
      <c r="W23" s="12"/>
    </row>
    <row r="24" spans="1:23" s="17" customFormat="1" ht="42.75" customHeight="1">
      <c r="A24" s="14"/>
      <c r="B24" s="15" t="s">
        <v>32</v>
      </c>
      <c r="C24" s="16">
        <f>SUM(C20:C23)</f>
        <v>2556.2969999999987</v>
      </c>
      <c r="D24" s="16">
        <f t="shared" ref="D24:U24" si="7">SUM(D20:D23)</f>
        <v>0.52</v>
      </c>
      <c r="E24" s="16">
        <f t="shared" si="7"/>
        <v>10.549999999999999</v>
      </c>
      <c r="F24" s="16">
        <f t="shared" si="7"/>
        <v>0</v>
      </c>
      <c r="G24" s="16">
        <f t="shared" si="7"/>
        <v>0</v>
      </c>
      <c r="H24" s="16">
        <f t="shared" si="7"/>
        <v>2556.8169999999991</v>
      </c>
      <c r="I24" s="16">
        <f t="shared" si="7"/>
        <v>234.32800000000003</v>
      </c>
      <c r="J24" s="16">
        <f t="shared" si="7"/>
        <v>0.55000000000000004</v>
      </c>
      <c r="K24" s="16">
        <f t="shared" si="7"/>
        <v>1.52</v>
      </c>
      <c r="L24" s="16">
        <f t="shared" si="7"/>
        <v>0</v>
      </c>
      <c r="M24" s="16">
        <f t="shared" si="7"/>
        <v>0</v>
      </c>
      <c r="N24" s="16">
        <f t="shared" si="7"/>
        <v>234.87800000000004</v>
      </c>
      <c r="O24" s="16">
        <f t="shared" si="7"/>
        <v>1450.2359999999999</v>
      </c>
      <c r="P24" s="16">
        <f t="shared" si="7"/>
        <v>81.790000000000006</v>
      </c>
      <c r="Q24" s="16">
        <f t="shared" si="7"/>
        <v>84.800000000000011</v>
      </c>
      <c r="R24" s="16">
        <f t="shared" si="7"/>
        <v>0</v>
      </c>
      <c r="S24" s="16">
        <f t="shared" si="7"/>
        <v>0</v>
      </c>
      <c r="T24" s="16">
        <f t="shared" si="7"/>
        <v>1532.0259999999998</v>
      </c>
      <c r="U24" s="16">
        <f t="shared" si="7"/>
        <v>4323.7209999999986</v>
      </c>
      <c r="V24" s="59"/>
      <c r="W24" s="59"/>
    </row>
    <row r="25" spans="1:23" s="17" customFormat="1" ht="42.75" customHeight="1">
      <c r="A25" s="14"/>
      <c r="B25" s="15" t="s">
        <v>33</v>
      </c>
      <c r="C25" s="16">
        <f>C24+C19+C15+C11</f>
        <v>11336.692999999996</v>
      </c>
      <c r="D25" s="16">
        <f t="shared" ref="D25:U25" si="8">D24+D19+D15+D11</f>
        <v>49.26</v>
      </c>
      <c r="E25" s="16">
        <f t="shared" si="8"/>
        <v>59.46</v>
      </c>
      <c r="F25" s="16">
        <f t="shared" si="8"/>
        <v>90.75</v>
      </c>
      <c r="G25" s="16">
        <f t="shared" si="8"/>
        <v>90.75</v>
      </c>
      <c r="H25" s="16">
        <f t="shared" si="8"/>
        <v>11295.202999999996</v>
      </c>
      <c r="I25" s="16">
        <f t="shared" si="8"/>
        <v>1441.4360000000001</v>
      </c>
      <c r="J25" s="16">
        <f t="shared" si="8"/>
        <v>5.3540000000000001</v>
      </c>
      <c r="K25" s="16">
        <f t="shared" si="8"/>
        <v>9.9619999999999997</v>
      </c>
      <c r="L25" s="16">
        <f t="shared" si="8"/>
        <v>0</v>
      </c>
      <c r="M25" s="16">
        <f t="shared" si="8"/>
        <v>0</v>
      </c>
      <c r="N25" s="16">
        <f t="shared" si="8"/>
        <v>1446.7900000000002</v>
      </c>
      <c r="O25" s="16">
        <f t="shared" si="8"/>
        <v>4170.4639999999999</v>
      </c>
      <c r="P25" s="16">
        <f t="shared" si="8"/>
        <v>99.81</v>
      </c>
      <c r="Q25" s="16">
        <f t="shared" si="8"/>
        <v>244.95000000000002</v>
      </c>
      <c r="R25" s="16">
        <f t="shared" si="8"/>
        <v>0</v>
      </c>
      <c r="S25" s="16">
        <f t="shared" si="8"/>
        <v>0</v>
      </c>
      <c r="T25" s="16">
        <f t="shared" si="8"/>
        <v>4270.2740000000003</v>
      </c>
      <c r="U25" s="16">
        <f t="shared" si="8"/>
        <v>17012.266999999996</v>
      </c>
      <c r="V25" s="59"/>
      <c r="W25" s="59"/>
    </row>
    <row r="26" spans="1:23" ht="42.75" customHeight="1">
      <c r="A26" s="8">
        <v>15</v>
      </c>
      <c r="B26" s="9" t="s">
        <v>34</v>
      </c>
      <c r="C26" s="10">
        <f>'April 2022  '!H26</f>
        <v>1189.7319999999993</v>
      </c>
      <c r="D26" s="10">
        <v>1.77</v>
      </c>
      <c r="E26" s="10">
        <f>'April 2022  '!E26+'May 2022'!D26</f>
        <v>7.8599999999999994</v>
      </c>
      <c r="F26" s="10">
        <v>0</v>
      </c>
      <c r="G26" s="10">
        <f>'April 2022  '!G26+'May 2022'!F26</f>
        <v>0</v>
      </c>
      <c r="H26" s="10">
        <f t="shared" si="0"/>
        <v>1191.5019999999993</v>
      </c>
      <c r="I26" s="10">
        <f>'April 2022  '!N26</f>
        <v>0</v>
      </c>
      <c r="J26" s="10">
        <v>0</v>
      </c>
      <c r="K26" s="10">
        <f>'April 2022  '!K26+'May 2022'!J26</f>
        <v>0</v>
      </c>
      <c r="L26" s="10">
        <v>0</v>
      </c>
      <c r="M26" s="10">
        <f>'April 2022  '!M26+'May 2022'!L26</f>
        <v>0</v>
      </c>
      <c r="N26" s="10">
        <f t="shared" si="1"/>
        <v>0</v>
      </c>
      <c r="O26" s="11">
        <f>'April 2022  '!T26</f>
        <v>129.56</v>
      </c>
      <c r="P26" s="10">
        <v>27.41</v>
      </c>
      <c r="Q26" s="10">
        <f>'April 2022  '!Q26+'May 2022'!P26</f>
        <v>27.41</v>
      </c>
      <c r="R26" s="10">
        <v>0.18</v>
      </c>
      <c r="S26" s="10">
        <f>'April 2022  '!S26+'May 2022'!R26</f>
        <v>0.18</v>
      </c>
      <c r="T26" s="11">
        <f t="shared" si="2"/>
        <v>156.79</v>
      </c>
      <c r="U26" s="11">
        <f t="shared" si="3"/>
        <v>1348.2919999999992</v>
      </c>
      <c r="V26" s="12"/>
      <c r="W26" s="12"/>
    </row>
    <row r="27" spans="1:23" ht="42.75" customHeight="1">
      <c r="A27" s="8">
        <v>16</v>
      </c>
      <c r="B27" s="9" t="s">
        <v>67</v>
      </c>
      <c r="C27" s="10">
        <f>'April 2022  '!H27</f>
        <v>10304.306999999993</v>
      </c>
      <c r="D27" s="10">
        <v>18.39</v>
      </c>
      <c r="E27" s="10">
        <f>'April 2022  '!E27+'May 2022'!D27</f>
        <v>24.51</v>
      </c>
      <c r="F27" s="10">
        <v>0</v>
      </c>
      <c r="G27" s="10">
        <f>'April 2022  '!G27+'May 2022'!F27</f>
        <v>0</v>
      </c>
      <c r="H27" s="10">
        <f t="shared" si="0"/>
        <v>10322.696999999993</v>
      </c>
      <c r="I27" s="10">
        <f>'April 2022  '!N27</f>
        <v>390.19499999999994</v>
      </c>
      <c r="J27" s="10">
        <v>0.1</v>
      </c>
      <c r="K27" s="10">
        <f>'April 2022  '!K27+'May 2022'!J27</f>
        <v>5.26</v>
      </c>
      <c r="L27" s="10">
        <v>0</v>
      </c>
      <c r="M27" s="10">
        <f>'April 2022  '!M27+'May 2022'!L27</f>
        <v>0</v>
      </c>
      <c r="N27" s="10">
        <f t="shared" si="1"/>
        <v>390.29499999999996</v>
      </c>
      <c r="O27" s="11">
        <f>'April 2022  '!T27</f>
        <v>30.140000000000008</v>
      </c>
      <c r="P27" s="10">
        <v>0</v>
      </c>
      <c r="Q27" s="10">
        <f>'April 2022  '!Q27+'May 2022'!P27</f>
        <v>0</v>
      </c>
      <c r="R27" s="10">
        <v>0</v>
      </c>
      <c r="S27" s="10">
        <f>'April 2022  '!S27+'May 2022'!R27</f>
        <v>45.21</v>
      </c>
      <c r="T27" s="11">
        <f t="shared" si="2"/>
        <v>30.140000000000008</v>
      </c>
      <c r="U27" s="11">
        <f t="shared" si="3"/>
        <v>10743.131999999992</v>
      </c>
      <c r="V27" s="12"/>
      <c r="W27" s="12"/>
    </row>
    <row r="28" spans="1:23" s="17" customFormat="1" ht="42.75" customHeight="1">
      <c r="A28" s="14"/>
      <c r="B28" s="15" t="s">
        <v>35</v>
      </c>
      <c r="C28" s="16">
        <f>SUM(C26:C27)</f>
        <v>11494.038999999993</v>
      </c>
      <c r="D28" s="16">
        <f t="shared" ref="D28:U28" si="9">SUM(D26:D27)</f>
        <v>20.16</v>
      </c>
      <c r="E28" s="16">
        <f t="shared" si="9"/>
        <v>32.370000000000005</v>
      </c>
      <c r="F28" s="16">
        <f t="shared" si="9"/>
        <v>0</v>
      </c>
      <c r="G28" s="16">
        <f t="shared" si="9"/>
        <v>0</v>
      </c>
      <c r="H28" s="16">
        <f t="shared" si="9"/>
        <v>11514.198999999991</v>
      </c>
      <c r="I28" s="16">
        <f t="shared" si="9"/>
        <v>390.19499999999994</v>
      </c>
      <c r="J28" s="16">
        <f t="shared" si="9"/>
        <v>0.1</v>
      </c>
      <c r="K28" s="16">
        <f t="shared" si="9"/>
        <v>5.26</v>
      </c>
      <c r="L28" s="16">
        <f t="shared" si="9"/>
        <v>0</v>
      </c>
      <c r="M28" s="16">
        <f t="shared" si="9"/>
        <v>0</v>
      </c>
      <c r="N28" s="16">
        <f t="shared" si="9"/>
        <v>390.29499999999996</v>
      </c>
      <c r="O28" s="16">
        <f t="shared" si="9"/>
        <v>159.70000000000002</v>
      </c>
      <c r="P28" s="16">
        <f t="shared" si="9"/>
        <v>27.41</v>
      </c>
      <c r="Q28" s="16">
        <f t="shared" si="9"/>
        <v>27.41</v>
      </c>
      <c r="R28" s="16">
        <f t="shared" si="9"/>
        <v>0.18</v>
      </c>
      <c r="S28" s="16">
        <f t="shared" si="9"/>
        <v>45.39</v>
      </c>
      <c r="T28" s="16">
        <f t="shared" si="9"/>
        <v>186.93</v>
      </c>
      <c r="U28" s="16">
        <f t="shared" si="9"/>
        <v>12091.423999999992</v>
      </c>
      <c r="V28" s="59"/>
      <c r="W28" s="59"/>
    </row>
    <row r="29" spans="1:23" ht="42.75" customHeight="1">
      <c r="A29" s="8">
        <v>17</v>
      </c>
      <c r="B29" s="9" t="s">
        <v>36</v>
      </c>
      <c r="C29" s="10">
        <f>'April 2022  '!H29</f>
        <v>4412.2130000000016</v>
      </c>
      <c r="D29" s="10">
        <v>12.78</v>
      </c>
      <c r="E29" s="10">
        <f>'April 2022  '!E29+'May 2022'!D29</f>
        <v>23.38</v>
      </c>
      <c r="F29" s="10">
        <v>0</v>
      </c>
      <c r="G29" s="10">
        <f>'April 2022  '!G29+'May 2022'!F29</f>
        <v>0</v>
      </c>
      <c r="H29" s="10">
        <f t="shared" si="0"/>
        <v>4424.9930000000013</v>
      </c>
      <c r="I29" s="10">
        <f>'April 2022  '!N29</f>
        <v>71.69</v>
      </c>
      <c r="J29" s="10">
        <v>0</v>
      </c>
      <c r="K29" s="10">
        <f>'April 2022  '!K29+'May 2022'!J29</f>
        <v>0</v>
      </c>
      <c r="L29" s="10">
        <v>0</v>
      </c>
      <c r="M29" s="10">
        <f>'April 2022  '!M29+'May 2022'!L29</f>
        <v>0</v>
      </c>
      <c r="N29" s="10">
        <f t="shared" si="1"/>
        <v>71.69</v>
      </c>
      <c r="O29" s="11">
        <f>'April 2022  '!T29</f>
        <v>138.08000000000001</v>
      </c>
      <c r="P29" s="10">
        <v>0</v>
      </c>
      <c r="Q29" s="10">
        <f>'April 2022  '!Q29+'May 2022'!P29</f>
        <v>0</v>
      </c>
      <c r="R29" s="10">
        <v>0</v>
      </c>
      <c r="S29" s="10">
        <f>'April 2022  '!S29+'May 2022'!R29</f>
        <v>0</v>
      </c>
      <c r="T29" s="11">
        <f t="shared" si="2"/>
        <v>138.08000000000001</v>
      </c>
      <c r="U29" s="11">
        <f t="shared" si="3"/>
        <v>4634.7630000000008</v>
      </c>
      <c r="V29" s="12"/>
      <c r="W29" s="12"/>
    </row>
    <row r="30" spans="1:23" ht="42.75" customHeight="1">
      <c r="A30" s="8">
        <v>18</v>
      </c>
      <c r="B30" s="9" t="s">
        <v>37</v>
      </c>
      <c r="C30" s="10">
        <f>'April 2022  '!H30</f>
        <v>6028.8940000000021</v>
      </c>
      <c r="D30" s="10">
        <v>10.68</v>
      </c>
      <c r="E30" s="10">
        <f>'April 2022  '!E30+'May 2022'!D30</f>
        <v>19.399999999999999</v>
      </c>
      <c r="F30" s="10">
        <v>0</v>
      </c>
      <c r="G30" s="10">
        <f>'April 2022  '!G30+'May 2022'!F30</f>
        <v>0</v>
      </c>
      <c r="H30" s="10">
        <f t="shared" si="0"/>
        <v>6039.5740000000023</v>
      </c>
      <c r="I30" s="10">
        <f>'April 2022  '!N30</f>
        <v>0</v>
      </c>
      <c r="J30" s="10">
        <v>0</v>
      </c>
      <c r="K30" s="10">
        <f>'April 2022  '!K30+'May 2022'!J30</f>
        <v>0</v>
      </c>
      <c r="L30" s="10">
        <v>0</v>
      </c>
      <c r="M30" s="10">
        <f>'April 2022  '!M30+'May 2022'!L30</f>
        <v>0</v>
      </c>
      <c r="N30" s="10">
        <f t="shared" si="1"/>
        <v>0</v>
      </c>
      <c r="O30" s="11">
        <f>'April 2022  '!T30</f>
        <v>0.22</v>
      </c>
      <c r="P30" s="10">
        <v>0</v>
      </c>
      <c r="Q30" s="10">
        <f>'April 2022  '!Q30+'May 2022'!P30</f>
        <v>0</v>
      </c>
      <c r="R30" s="10">
        <v>0</v>
      </c>
      <c r="S30" s="10">
        <f>'April 2022  '!S30+'May 2022'!R30</f>
        <v>0</v>
      </c>
      <c r="T30" s="11">
        <f t="shared" si="2"/>
        <v>0.22</v>
      </c>
      <c r="U30" s="11">
        <f t="shared" si="3"/>
        <v>6039.7940000000026</v>
      </c>
      <c r="V30" s="12"/>
      <c r="W30" s="12"/>
    </row>
    <row r="31" spans="1:23" ht="42.75" customHeight="1">
      <c r="A31" s="8">
        <v>19</v>
      </c>
      <c r="B31" s="9" t="s">
        <v>38</v>
      </c>
      <c r="C31" s="10">
        <f>'April 2022  '!H31</f>
        <v>3073.5729999999994</v>
      </c>
      <c r="D31" s="10">
        <v>4.4349999999999996</v>
      </c>
      <c r="E31" s="10">
        <f>'April 2022  '!E31+'May 2022'!D31</f>
        <v>7.3249999999999993</v>
      </c>
      <c r="F31" s="10">
        <v>0</v>
      </c>
      <c r="G31" s="10">
        <f>'April 2022  '!G31+'May 2022'!F31</f>
        <v>3.38</v>
      </c>
      <c r="H31" s="10">
        <f t="shared" si="0"/>
        <v>3078.0079999999994</v>
      </c>
      <c r="I31" s="10">
        <f>'April 2022  '!N31</f>
        <v>3.1600000000000037</v>
      </c>
      <c r="J31" s="10">
        <v>0</v>
      </c>
      <c r="K31" s="10">
        <f>'April 2022  '!K31+'May 2022'!J31</f>
        <v>0</v>
      </c>
      <c r="L31" s="10">
        <v>0</v>
      </c>
      <c r="M31" s="10">
        <f>'April 2022  '!M31+'May 2022'!L31</f>
        <v>0</v>
      </c>
      <c r="N31" s="10">
        <f t="shared" si="1"/>
        <v>3.1600000000000037</v>
      </c>
      <c r="O31" s="11">
        <f>'April 2022  '!T31</f>
        <v>128.47999999999999</v>
      </c>
      <c r="P31" s="10">
        <v>0</v>
      </c>
      <c r="Q31" s="10">
        <f>'April 2022  '!Q31+'May 2022'!P31</f>
        <v>0</v>
      </c>
      <c r="R31" s="10">
        <v>0</v>
      </c>
      <c r="S31" s="10">
        <f>'April 2022  '!S31+'May 2022'!R31</f>
        <v>0</v>
      </c>
      <c r="T31" s="11">
        <f t="shared" si="2"/>
        <v>128.47999999999999</v>
      </c>
      <c r="U31" s="11">
        <f t="shared" si="3"/>
        <v>3209.6479999999992</v>
      </c>
      <c r="V31" s="12"/>
      <c r="W31" s="12"/>
    </row>
    <row r="32" spans="1:23" ht="42.75" customHeight="1">
      <c r="A32" s="8">
        <v>20</v>
      </c>
      <c r="B32" s="9" t="s">
        <v>39</v>
      </c>
      <c r="C32" s="10">
        <f>'April 2022  '!H32</f>
        <v>4371.0999999999995</v>
      </c>
      <c r="D32" s="10">
        <v>2.56</v>
      </c>
      <c r="E32" s="10">
        <f>'April 2022  '!E32+'May 2022'!D32</f>
        <v>4.9800000000000004</v>
      </c>
      <c r="F32" s="10">
        <v>0</v>
      </c>
      <c r="G32" s="10">
        <f>'April 2022  '!G32+'May 2022'!F32</f>
        <v>0</v>
      </c>
      <c r="H32" s="10">
        <f t="shared" si="0"/>
        <v>4373.66</v>
      </c>
      <c r="I32" s="10">
        <f>'April 2022  '!N32</f>
        <v>135.24</v>
      </c>
      <c r="J32" s="10">
        <v>1.03</v>
      </c>
      <c r="K32" s="10">
        <f>'April 2022  '!K32+'May 2022'!J32</f>
        <v>2.4299999999999997</v>
      </c>
      <c r="L32" s="10">
        <v>0</v>
      </c>
      <c r="M32" s="10">
        <f>'April 2022  '!M32+'May 2022'!L32</f>
        <v>0</v>
      </c>
      <c r="N32" s="10">
        <f t="shared" si="1"/>
        <v>136.27000000000001</v>
      </c>
      <c r="O32" s="11">
        <f>'April 2022  '!T32</f>
        <v>243.63999999999996</v>
      </c>
      <c r="P32" s="10">
        <v>0</v>
      </c>
      <c r="Q32" s="10">
        <f>'April 2022  '!Q32+'May 2022'!P32</f>
        <v>0</v>
      </c>
      <c r="R32" s="10">
        <v>0</v>
      </c>
      <c r="S32" s="10">
        <f>'April 2022  '!S32+'May 2022'!R32</f>
        <v>27.41</v>
      </c>
      <c r="T32" s="11">
        <f t="shared" si="2"/>
        <v>243.63999999999996</v>
      </c>
      <c r="U32" s="11">
        <f t="shared" si="3"/>
        <v>4753.5700000000006</v>
      </c>
      <c r="V32" s="12"/>
      <c r="W32" s="12"/>
    </row>
    <row r="33" spans="1:23" s="17" customFormat="1" ht="42.75" customHeight="1">
      <c r="A33" s="14"/>
      <c r="B33" s="15" t="s">
        <v>68</v>
      </c>
      <c r="C33" s="16">
        <f>SUM(C29:C32)</f>
        <v>17885.780000000002</v>
      </c>
      <c r="D33" s="16">
        <f t="shared" ref="D33:U33" si="10">SUM(D29:D32)</f>
        <v>30.454999999999998</v>
      </c>
      <c r="E33" s="16">
        <f t="shared" si="10"/>
        <v>55.085000000000008</v>
      </c>
      <c r="F33" s="16">
        <f t="shared" si="10"/>
        <v>0</v>
      </c>
      <c r="G33" s="16">
        <f t="shared" si="10"/>
        <v>3.38</v>
      </c>
      <c r="H33" s="16">
        <f t="shared" si="10"/>
        <v>17916.235000000001</v>
      </c>
      <c r="I33" s="16">
        <f t="shared" si="10"/>
        <v>210.09</v>
      </c>
      <c r="J33" s="16">
        <f t="shared" si="10"/>
        <v>1.03</v>
      </c>
      <c r="K33" s="16">
        <f t="shared" si="10"/>
        <v>2.4299999999999997</v>
      </c>
      <c r="L33" s="16">
        <f t="shared" si="10"/>
        <v>0</v>
      </c>
      <c r="M33" s="16">
        <f t="shared" si="10"/>
        <v>0</v>
      </c>
      <c r="N33" s="16">
        <f t="shared" si="10"/>
        <v>211.12</v>
      </c>
      <c r="O33" s="16">
        <f t="shared" si="10"/>
        <v>510.41999999999996</v>
      </c>
      <c r="P33" s="16">
        <f t="shared" si="10"/>
        <v>0</v>
      </c>
      <c r="Q33" s="16">
        <f t="shared" si="10"/>
        <v>0</v>
      </c>
      <c r="R33" s="16">
        <f t="shared" si="10"/>
        <v>0</v>
      </c>
      <c r="S33" s="16">
        <f t="shared" si="10"/>
        <v>27.41</v>
      </c>
      <c r="T33" s="16">
        <f t="shared" si="10"/>
        <v>510.41999999999996</v>
      </c>
      <c r="U33" s="16">
        <f t="shared" si="10"/>
        <v>18637.775000000005</v>
      </c>
      <c r="V33" s="59"/>
      <c r="W33" s="59"/>
    </row>
    <row r="34" spans="1:23" ht="42.75" customHeight="1">
      <c r="A34" s="8">
        <v>21</v>
      </c>
      <c r="B34" s="9" t="s">
        <v>40</v>
      </c>
      <c r="C34" s="10">
        <f>'April 2022  '!H34</f>
        <v>5871.4500000000016</v>
      </c>
      <c r="D34" s="10">
        <v>9.7799999999999994</v>
      </c>
      <c r="E34" s="10">
        <f>'April 2022  '!E34+'May 2022'!D34</f>
        <v>15.12</v>
      </c>
      <c r="F34" s="10">
        <v>0</v>
      </c>
      <c r="G34" s="10">
        <f>'April 2022  '!G34+'May 2022'!F34</f>
        <v>0</v>
      </c>
      <c r="H34" s="10">
        <f t="shared" si="0"/>
        <v>5881.2300000000014</v>
      </c>
      <c r="I34" s="10">
        <f>'April 2022  '!N34</f>
        <v>0</v>
      </c>
      <c r="J34" s="10">
        <v>0.55000000000000004</v>
      </c>
      <c r="K34" s="10">
        <f>'April 2022  '!K34+'May 2022'!J34</f>
        <v>0.55000000000000004</v>
      </c>
      <c r="L34" s="10">
        <v>0</v>
      </c>
      <c r="M34" s="10">
        <f>'April 2022  '!M34+'May 2022'!L34</f>
        <v>0</v>
      </c>
      <c r="N34" s="10">
        <f t="shared" si="1"/>
        <v>0.55000000000000004</v>
      </c>
      <c r="O34" s="11">
        <f>'April 2022  '!T34</f>
        <v>0</v>
      </c>
      <c r="P34" s="10">
        <v>0</v>
      </c>
      <c r="Q34" s="10">
        <f>'April 2022  '!Q34+'May 2022'!P34</f>
        <v>0</v>
      </c>
      <c r="R34" s="10">
        <v>0</v>
      </c>
      <c r="S34" s="10">
        <f>'April 2022  '!S34+'May 2022'!R34</f>
        <v>0</v>
      </c>
      <c r="T34" s="11">
        <f t="shared" si="2"/>
        <v>0</v>
      </c>
      <c r="U34" s="11">
        <f t="shared" si="3"/>
        <v>5881.7800000000016</v>
      </c>
      <c r="V34" s="18"/>
      <c r="W34" s="18"/>
    </row>
    <row r="35" spans="1:23" ht="42.75" customHeight="1">
      <c r="A35" s="8">
        <v>22</v>
      </c>
      <c r="B35" s="9" t="s">
        <v>41</v>
      </c>
      <c r="C35" s="10">
        <f>'April 2022  '!H35</f>
        <v>4645.0350000000008</v>
      </c>
      <c r="D35" s="10">
        <v>9.1300000000000008</v>
      </c>
      <c r="E35" s="10">
        <f>'April 2022  '!E35+'May 2022'!D35</f>
        <v>29.259999999999998</v>
      </c>
      <c r="F35" s="10">
        <v>0</v>
      </c>
      <c r="G35" s="10">
        <f>'April 2022  '!G35+'May 2022'!F35</f>
        <v>0</v>
      </c>
      <c r="H35" s="10">
        <f t="shared" si="0"/>
        <v>4654.1650000000009</v>
      </c>
      <c r="I35" s="10">
        <f>'April 2022  '!N35</f>
        <v>0.1</v>
      </c>
      <c r="J35" s="10">
        <v>0</v>
      </c>
      <c r="K35" s="10">
        <f>'April 2022  '!K35+'May 2022'!J35</f>
        <v>0</v>
      </c>
      <c r="L35" s="10">
        <v>0</v>
      </c>
      <c r="M35" s="10">
        <f>'April 2022  '!M35+'May 2022'!L35</f>
        <v>0</v>
      </c>
      <c r="N35" s="10">
        <f t="shared" si="1"/>
        <v>0.1</v>
      </c>
      <c r="O35" s="11">
        <f>'April 2022  '!T35</f>
        <v>16.43</v>
      </c>
      <c r="P35" s="10">
        <v>0</v>
      </c>
      <c r="Q35" s="10">
        <f>'April 2022  '!Q35+'May 2022'!P35</f>
        <v>0</v>
      </c>
      <c r="R35" s="10">
        <v>0</v>
      </c>
      <c r="S35" s="10">
        <f>'April 2022  '!S35+'May 2022'!R35</f>
        <v>0</v>
      </c>
      <c r="T35" s="11">
        <f t="shared" si="2"/>
        <v>16.43</v>
      </c>
      <c r="U35" s="11">
        <f t="shared" si="3"/>
        <v>4670.6950000000015</v>
      </c>
      <c r="V35" s="18"/>
      <c r="W35" s="18"/>
    </row>
    <row r="36" spans="1:23" ht="42.75" customHeight="1">
      <c r="A36" s="8">
        <v>23</v>
      </c>
      <c r="B36" s="9" t="s">
        <v>42</v>
      </c>
      <c r="C36" s="10">
        <f>'April 2022  '!H36</f>
        <v>19366.97</v>
      </c>
      <c r="D36" s="10">
        <v>1</v>
      </c>
      <c r="E36" s="10">
        <f>'April 2022  '!E36+'May 2022'!D36</f>
        <v>1.1000000000000001</v>
      </c>
      <c r="F36" s="10">
        <v>0</v>
      </c>
      <c r="G36" s="10">
        <f>'April 2022  '!G36+'May 2022'!F36</f>
        <v>0</v>
      </c>
      <c r="H36" s="10">
        <f t="shared" si="0"/>
        <v>19367.97</v>
      </c>
      <c r="I36" s="10">
        <f>'April 2022  '!N36</f>
        <v>8.5</v>
      </c>
      <c r="J36" s="10">
        <v>0</v>
      </c>
      <c r="K36" s="10">
        <f>'April 2022  '!K36+'May 2022'!J36</f>
        <v>0</v>
      </c>
      <c r="L36" s="10">
        <v>0</v>
      </c>
      <c r="M36" s="10">
        <f>'April 2022  '!M36+'May 2022'!L36</f>
        <v>0</v>
      </c>
      <c r="N36" s="10">
        <f t="shared" si="1"/>
        <v>8.5</v>
      </c>
      <c r="O36" s="11">
        <f>'April 2022  '!T36</f>
        <v>0</v>
      </c>
      <c r="P36" s="10">
        <v>0</v>
      </c>
      <c r="Q36" s="10">
        <f>'April 2022  '!Q36+'May 2022'!P36</f>
        <v>0</v>
      </c>
      <c r="R36" s="10">
        <v>0</v>
      </c>
      <c r="S36" s="10">
        <f>'April 2022  '!S36+'May 2022'!R36</f>
        <v>0</v>
      </c>
      <c r="T36" s="11">
        <f t="shared" si="2"/>
        <v>0</v>
      </c>
      <c r="U36" s="11">
        <f t="shared" si="3"/>
        <v>19376.47</v>
      </c>
      <c r="V36" s="18"/>
      <c r="W36" s="18"/>
    </row>
    <row r="37" spans="1:23" ht="42.75" customHeight="1">
      <c r="A37" s="8">
        <v>24</v>
      </c>
      <c r="B37" s="9" t="s">
        <v>43</v>
      </c>
      <c r="C37" s="10">
        <f>'April 2022  '!H37</f>
        <v>7008.3199999999988</v>
      </c>
      <c r="D37" s="10">
        <v>1.07</v>
      </c>
      <c r="E37" s="10">
        <f>'April 2022  '!E37+'May 2022'!D37</f>
        <v>1.79</v>
      </c>
      <c r="F37" s="10">
        <v>0</v>
      </c>
      <c r="G37" s="10">
        <f>'April 2022  '!G37+'May 2022'!F37</f>
        <v>0</v>
      </c>
      <c r="H37" s="10">
        <f t="shared" si="0"/>
        <v>7009.3899999999985</v>
      </c>
      <c r="I37" s="10">
        <f>'April 2022  '!N37</f>
        <v>0</v>
      </c>
      <c r="J37" s="10">
        <v>0</v>
      </c>
      <c r="K37" s="10">
        <f>'April 2022  '!K37+'May 2022'!J37</f>
        <v>0</v>
      </c>
      <c r="L37" s="10">
        <v>0</v>
      </c>
      <c r="M37" s="10">
        <f>'April 2022  '!M37+'May 2022'!L37</f>
        <v>0</v>
      </c>
      <c r="N37" s="10">
        <f t="shared" si="1"/>
        <v>0</v>
      </c>
      <c r="O37" s="11">
        <f>'April 2022  '!T37</f>
        <v>3.1</v>
      </c>
      <c r="P37" s="10">
        <v>0</v>
      </c>
      <c r="Q37" s="10">
        <f>'April 2022  '!Q37+'May 2022'!P37</f>
        <v>0</v>
      </c>
      <c r="R37" s="10">
        <v>0</v>
      </c>
      <c r="S37" s="10">
        <f>'April 2022  '!S37+'May 2022'!R37</f>
        <v>0</v>
      </c>
      <c r="T37" s="11">
        <f t="shared" si="2"/>
        <v>3.1</v>
      </c>
      <c r="U37" s="11">
        <f t="shared" si="3"/>
        <v>7012.4899999999989</v>
      </c>
      <c r="V37" s="18"/>
      <c r="W37" s="18"/>
    </row>
    <row r="38" spans="1:23" s="17" customFormat="1" ht="42.75" customHeight="1">
      <c r="A38" s="14"/>
      <c r="B38" s="15" t="s">
        <v>44</v>
      </c>
      <c r="C38" s="16">
        <f>SUM(C34:C37)</f>
        <v>36891.775000000001</v>
      </c>
      <c r="D38" s="16">
        <f t="shared" ref="D38:U38" si="11">SUM(D34:D37)</f>
        <v>20.98</v>
      </c>
      <c r="E38" s="16">
        <f t="shared" si="11"/>
        <v>47.269999999999996</v>
      </c>
      <c r="F38" s="16">
        <f t="shared" si="11"/>
        <v>0</v>
      </c>
      <c r="G38" s="16">
        <f t="shared" si="11"/>
        <v>0</v>
      </c>
      <c r="H38" s="16">
        <f t="shared" si="11"/>
        <v>36912.755000000005</v>
      </c>
      <c r="I38" s="16">
        <f t="shared" si="11"/>
        <v>8.6</v>
      </c>
      <c r="J38" s="16">
        <f t="shared" si="11"/>
        <v>0.55000000000000004</v>
      </c>
      <c r="K38" s="16">
        <f t="shared" si="11"/>
        <v>0.55000000000000004</v>
      </c>
      <c r="L38" s="16">
        <f t="shared" si="11"/>
        <v>0</v>
      </c>
      <c r="M38" s="16">
        <f t="shared" si="11"/>
        <v>0</v>
      </c>
      <c r="N38" s="16">
        <f t="shared" si="11"/>
        <v>9.15</v>
      </c>
      <c r="O38" s="16">
        <f t="shared" si="11"/>
        <v>19.53</v>
      </c>
      <c r="P38" s="16">
        <f t="shared" si="11"/>
        <v>0</v>
      </c>
      <c r="Q38" s="16">
        <f t="shared" si="11"/>
        <v>0</v>
      </c>
      <c r="R38" s="16">
        <f t="shared" si="11"/>
        <v>0</v>
      </c>
      <c r="S38" s="16">
        <f t="shared" si="11"/>
        <v>0</v>
      </c>
      <c r="T38" s="16">
        <f t="shared" si="11"/>
        <v>19.53</v>
      </c>
      <c r="U38" s="16">
        <f t="shared" si="11"/>
        <v>36941.435000000005</v>
      </c>
      <c r="V38" s="59"/>
      <c r="W38" s="59"/>
    </row>
    <row r="39" spans="1:23" s="17" customFormat="1" ht="42.75" customHeight="1">
      <c r="A39" s="14"/>
      <c r="B39" s="15" t="s">
        <v>45</v>
      </c>
      <c r="C39" s="16">
        <f>C38+C33+C28</f>
        <v>66271.593999999997</v>
      </c>
      <c r="D39" s="16">
        <f t="shared" ref="D39:U39" si="12">D38+D33+D28</f>
        <v>71.594999999999999</v>
      </c>
      <c r="E39" s="16">
        <f t="shared" si="12"/>
        <v>134.72500000000002</v>
      </c>
      <c r="F39" s="16">
        <f t="shared" si="12"/>
        <v>0</v>
      </c>
      <c r="G39" s="16">
        <f t="shared" si="12"/>
        <v>3.38</v>
      </c>
      <c r="H39" s="16">
        <f t="shared" si="12"/>
        <v>66343.188999999998</v>
      </c>
      <c r="I39" s="16">
        <f t="shared" si="12"/>
        <v>608.88499999999999</v>
      </c>
      <c r="J39" s="16">
        <f t="shared" si="12"/>
        <v>1.6800000000000002</v>
      </c>
      <c r="K39" s="16">
        <f t="shared" si="12"/>
        <v>8.2399999999999984</v>
      </c>
      <c r="L39" s="16">
        <f t="shared" si="12"/>
        <v>0</v>
      </c>
      <c r="M39" s="16">
        <f t="shared" si="12"/>
        <v>0</v>
      </c>
      <c r="N39" s="16">
        <f t="shared" si="12"/>
        <v>610.56499999999994</v>
      </c>
      <c r="O39" s="16">
        <f t="shared" si="12"/>
        <v>689.65</v>
      </c>
      <c r="P39" s="16">
        <f t="shared" si="12"/>
        <v>27.41</v>
      </c>
      <c r="Q39" s="16">
        <f t="shared" si="12"/>
        <v>27.41</v>
      </c>
      <c r="R39" s="16">
        <f t="shared" si="12"/>
        <v>0.18</v>
      </c>
      <c r="S39" s="16">
        <f t="shared" si="12"/>
        <v>72.8</v>
      </c>
      <c r="T39" s="16">
        <f t="shared" si="12"/>
        <v>716.87999999999988</v>
      </c>
      <c r="U39" s="16">
        <f t="shared" si="12"/>
        <v>67670.633999999991</v>
      </c>
      <c r="V39" s="59"/>
      <c r="W39" s="59"/>
    </row>
    <row r="40" spans="1:23" ht="42.75" customHeight="1">
      <c r="A40" s="8">
        <v>25</v>
      </c>
      <c r="B40" s="9" t="s">
        <v>46</v>
      </c>
      <c r="C40" s="10">
        <f>'April 2022  '!H40</f>
        <v>13808.658000000001</v>
      </c>
      <c r="D40" s="10">
        <v>9.7799999999999994</v>
      </c>
      <c r="E40" s="10">
        <f>'April 2022  '!E40+'May 2022'!D40</f>
        <v>33.35</v>
      </c>
      <c r="F40" s="10">
        <v>0</v>
      </c>
      <c r="G40" s="10">
        <f>'April 2022  '!G40+'May 2022'!F40</f>
        <v>0</v>
      </c>
      <c r="H40" s="10">
        <f t="shared" si="0"/>
        <v>13818.438000000002</v>
      </c>
      <c r="I40" s="10">
        <f>'April 2022  '!N40</f>
        <v>0</v>
      </c>
      <c r="J40" s="10">
        <v>0</v>
      </c>
      <c r="K40" s="10">
        <f>'April 2022  '!K40+'May 2022'!J40</f>
        <v>0</v>
      </c>
      <c r="L40" s="10">
        <v>0</v>
      </c>
      <c r="M40" s="10">
        <f>'April 2022  '!M40+'May 2022'!L40</f>
        <v>0</v>
      </c>
      <c r="N40" s="10">
        <f t="shared" si="1"/>
        <v>0</v>
      </c>
      <c r="O40" s="11">
        <f>'April 2022  '!T40</f>
        <v>0</v>
      </c>
      <c r="P40" s="10">
        <v>0</v>
      </c>
      <c r="Q40" s="10">
        <f>'April 2022  '!Q40+'May 2022'!P40</f>
        <v>0</v>
      </c>
      <c r="R40" s="10">
        <v>0</v>
      </c>
      <c r="S40" s="10">
        <f>'April 2022  '!S40+'May 2022'!R40</f>
        <v>0</v>
      </c>
      <c r="T40" s="11">
        <f t="shared" si="2"/>
        <v>0</v>
      </c>
      <c r="U40" s="11">
        <f t="shared" si="3"/>
        <v>13818.438000000002</v>
      </c>
      <c r="V40" s="12"/>
      <c r="W40" s="12"/>
    </row>
    <row r="41" spans="1:23" ht="42.75" customHeight="1">
      <c r="A41" s="8">
        <v>26</v>
      </c>
      <c r="B41" s="9" t="s">
        <v>47</v>
      </c>
      <c r="C41" s="10">
        <f>'April 2022  '!H41</f>
        <v>10169.705999999991</v>
      </c>
      <c r="D41" s="10">
        <v>108.87</v>
      </c>
      <c r="E41" s="10">
        <f>'April 2022  '!E41+'May 2022'!D41</f>
        <v>168.86</v>
      </c>
      <c r="F41" s="10">
        <v>0</v>
      </c>
      <c r="G41" s="10">
        <f>'April 2022  '!G41+'May 2022'!F41</f>
        <v>0</v>
      </c>
      <c r="H41" s="10">
        <f t="shared" si="0"/>
        <v>10278.575999999992</v>
      </c>
      <c r="I41" s="10">
        <f>'April 2022  '!N41</f>
        <v>0</v>
      </c>
      <c r="J41" s="10">
        <v>0</v>
      </c>
      <c r="K41" s="10">
        <f>'April 2022  '!K41+'May 2022'!J41</f>
        <v>0</v>
      </c>
      <c r="L41" s="10">
        <v>0</v>
      </c>
      <c r="M41" s="10">
        <f>'April 2022  '!M41+'May 2022'!L41</f>
        <v>0</v>
      </c>
      <c r="N41" s="10">
        <f t="shared" si="1"/>
        <v>0</v>
      </c>
      <c r="O41" s="11">
        <f>'April 2022  '!T41</f>
        <v>0</v>
      </c>
      <c r="P41" s="10">
        <v>0</v>
      </c>
      <c r="Q41" s="10">
        <f>'April 2022  '!Q41+'May 2022'!P41</f>
        <v>0</v>
      </c>
      <c r="R41" s="10">
        <v>0</v>
      </c>
      <c r="S41" s="10">
        <f>'April 2022  '!S41+'May 2022'!R41</f>
        <v>0</v>
      </c>
      <c r="T41" s="11">
        <f t="shared" si="2"/>
        <v>0</v>
      </c>
      <c r="U41" s="11">
        <f t="shared" si="3"/>
        <v>10278.575999999992</v>
      </c>
      <c r="V41" s="12"/>
      <c r="W41" s="12"/>
    </row>
    <row r="42" spans="1:23" ht="42.75" customHeight="1">
      <c r="A42" s="8">
        <v>27</v>
      </c>
      <c r="B42" s="9" t="s">
        <v>48</v>
      </c>
      <c r="C42" s="10">
        <f>'April 2022  '!H42</f>
        <v>23885.234</v>
      </c>
      <c r="D42" s="10">
        <v>11.01</v>
      </c>
      <c r="E42" s="10">
        <f>'April 2022  '!E42+'May 2022'!D42</f>
        <v>22.33</v>
      </c>
      <c r="F42" s="10">
        <v>0</v>
      </c>
      <c r="G42" s="10">
        <f>'April 2022  '!G42+'May 2022'!F42</f>
        <v>0</v>
      </c>
      <c r="H42" s="10">
        <f t="shared" si="0"/>
        <v>23896.243999999999</v>
      </c>
      <c r="I42" s="10">
        <f>'April 2022  '!N42</f>
        <v>0</v>
      </c>
      <c r="J42" s="10">
        <v>0</v>
      </c>
      <c r="K42" s="10">
        <f>'April 2022  '!K42+'May 2022'!J42</f>
        <v>0</v>
      </c>
      <c r="L42" s="10">
        <v>0</v>
      </c>
      <c r="M42" s="10">
        <f>'April 2022  '!M42+'May 2022'!L42</f>
        <v>0</v>
      </c>
      <c r="N42" s="10">
        <f t="shared" si="1"/>
        <v>0</v>
      </c>
      <c r="O42" s="11">
        <f>'April 2022  '!T42</f>
        <v>0</v>
      </c>
      <c r="P42" s="10">
        <v>0</v>
      </c>
      <c r="Q42" s="10">
        <f>'April 2022  '!Q42+'May 2022'!P42</f>
        <v>0</v>
      </c>
      <c r="R42" s="10">
        <v>0</v>
      </c>
      <c r="S42" s="10">
        <f>'April 2022  '!S42+'May 2022'!R42</f>
        <v>0</v>
      </c>
      <c r="T42" s="11">
        <f t="shared" si="2"/>
        <v>0</v>
      </c>
      <c r="U42" s="11">
        <f t="shared" si="3"/>
        <v>23896.243999999999</v>
      </c>
      <c r="V42" s="12"/>
      <c r="W42" s="12"/>
    </row>
    <row r="43" spans="1:23" ht="42.75" customHeight="1">
      <c r="A43" s="8">
        <v>28</v>
      </c>
      <c r="B43" s="9" t="s">
        <v>49</v>
      </c>
      <c r="C43" s="10">
        <f>'April 2022  '!H43</f>
        <v>2294.3030000000003</v>
      </c>
      <c r="D43" s="10">
        <v>8.42</v>
      </c>
      <c r="E43" s="10">
        <f>'April 2022  '!E43+'May 2022'!D43</f>
        <v>16.259999999999998</v>
      </c>
      <c r="F43" s="10">
        <v>0</v>
      </c>
      <c r="G43" s="10">
        <f>'April 2022  '!G43+'May 2022'!F43</f>
        <v>0</v>
      </c>
      <c r="H43" s="10">
        <f t="shared" si="0"/>
        <v>2302.7230000000004</v>
      </c>
      <c r="I43" s="10">
        <f>'April 2022  '!N43</f>
        <v>0</v>
      </c>
      <c r="J43" s="10">
        <v>0</v>
      </c>
      <c r="K43" s="10">
        <f>'April 2022  '!K43+'May 2022'!J43</f>
        <v>0</v>
      </c>
      <c r="L43" s="10">
        <v>0</v>
      </c>
      <c r="M43" s="10">
        <f>'April 2022  '!M43+'May 2022'!L43</f>
        <v>0</v>
      </c>
      <c r="N43" s="10">
        <f t="shared" si="1"/>
        <v>0</v>
      </c>
      <c r="O43" s="11">
        <f>'April 2022  '!T43</f>
        <v>0</v>
      </c>
      <c r="P43" s="10">
        <v>0</v>
      </c>
      <c r="Q43" s="10">
        <f>'April 2022  '!Q43+'May 2022'!P43</f>
        <v>0</v>
      </c>
      <c r="R43" s="10">
        <v>0</v>
      </c>
      <c r="S43" s="10">
        <f>'April 2022  '!S43+'May 2022'!R43</f>
        <v>0</v>
      </c>
      <c r="T43" s="11">
        <f t="shared" si="2"/>
        <v>0</v>
      </c>
      <c r="U43" s="11">
        <f t="shared" si="3"/>
        <v>2302.7230000000004</v>
      </c>
      <c r="V43" s="12"/>
      <c r="W43" s="12"/>
    </row>
    <row r="44" spans="1:23" s="17" customFormat="1" ht="42.75" customHeight="1">
      <c r="A44" s="14"/>
      <c r="B44" s="15" t="s">
        <v>50</v>
      </c>
      <c r="C44" s="16">
        <f>SUM(C40:C43)</f>
        <v>50157.900999999998</v>
      </c>
      <c r="D44" s="16">
        <f t="shared" ref="D44:U44" si="13">SUM(D40:D43)</f>
        <v>138.07999999999998</v>
      </c>
      <c r="E44" s="16">
        <f t="shared" si="13"/>
        <v>240.8</v>
      </c>
      <c r="F44" s="16">
        <f t="shared" si="13"/>
        <v>0</v>
      </c>
      <c r="G44" s="16">
        <f t="shared" si="13"/>
        <v>0</v>
      </c>
      <c r="H44" s="16">
        <f t="shared" si="13"/>
        <v>50295.980999999992</v>
      </c>
      <c r="I44" s="16">
        <f t="shared" si="13"/>
        <v>0</v>
      </c>
      <c r="J44" s="16">
        <f t="shared" si="13"/>
        <v>0</v>
      </c>
      <c r="K44" s="16">
        <f t="shared" si="13"/>
        <v>0</v>
      </c>
      <c r="L44" s="16">
        <f t="shared" si="13"/>
        <v>0</v>
      </c>
      <c r="M44" s="16">
        <f t="shared" si="13"/>
        <v>0</v>
      </c>
      <c r="N44" s="16">
        <f t="shared" si="13"/>
        <v>0</v>
      </c>
      <c r="O44" s="16">
        <f t="shared" si="13"/>
        <v>0</v>
      </c>
      <c r="P44" s="16">
        <f t="shared" si="13"/>
        <v>0</v>
      </c>
      <c r="Q44" s="16">
        <f t="shared" si="13"/>
        <v>0</v>
      </c>
      <c r="R44" s="16">
        <f t="shared" si="13"/>
        <v>0</v>
      </c>
      <c r="S44" s="16">
        <f t="shared" si="13"/>
        <v>0</v>
      </c>
      <c r="T44" s="16">
        <f t="shared" si="13"/>
        <v>0</v>
      </c>
      <c r="U44" s="16">
        <f t="shared" si="13"/>
        <v>50295.980999999992</v>
      </c>
      <c r="V44" s="59"/>
      <c r="W44" s="59"/>
    </row>
    <row r="45" spans="1:23" ht="42.75" customHeight="1">
      <c r="A45" s="8">
        <v>29</v>
      </c>
      <c r="B45" s="9" t="s">
        <v>51</v>
      </c>
      <c r="C45" s="10">
        <f>'April 2022  '!H45</f>
        <v>14113.71</v>
      </c>
      <c r="D45" s="10">
        <f>3.3+50.77</f>
        <v>54.07</v>
      </c>
      <c r="E45" s="10">
        <f>'April 2022  '!E45+'May 2022'!D45</f>
        <v>58.56</v>
      </c>
      <c r="F45" s="10">
        <v>0</v>
      </c>
      <c r="G45" s="10">
        <f>'April 2022  '!G45+'May 2022'!F45</f>
        <v>0</v>
      </c>
      <c r="H45" s="10">
        <f t="shared" si="0"/>
        <v>14167.779999999999</v>
      </c>
      <c r="I45" s="10">
        <f>'April 2022  '!N45</f>
        <v>6.6300000000000008</v>
      </c>
      <c r="J45" s="10">
        <v>0</v>
      </c>
      <c r="K45" s="10">
        <f>'April 2022  '!K45+'May 2022'!J45</f>
        <v>0</v>
      </c>
      <c r="L45" s="10">
        <v>0</v>
      </c>
      <c r="M45" s="10">
        <f>'April 2022  '!M45+'May 2022'!L45</f>
        <v>0</v>
      </c>
      <c r="N45" s="10">
        <f t="shared" si="1"/>
        <v>6.6300000000000008</v>
      </c>
      <c r="O45" s="11">
        <f>'April 2022  '!T45</f>
        <v>89.78</v>
      </c>
      <c r="P45" s="10">
        <v>0.04</v>
      </c>
      <c r="Q45" s="10">
        <f>'April 2022  '!Q45+'May 2022'!P45</f>
        <v>59.65</v>
      </c>
      <c r="R45" s="10">
        <v>0</v>
      </c>
      <c r="S45" s="10">
        <f>'April 2022  '!S45+'May 2022'!R45</f>
        <v>0</v>
      </c>
      <c r="T45" s="11">
        <f t="shared" si="2"/>
        <v>89.820000000000007</v>
      </c>
      <c r="U45" s="11">
        <f t="shared" si="3"/>
        <v>14264.229999999998</v>
      </c>
      <c r="V45" s="12"/>
      <c r="W45" s="12"/>
    </row>
    <row r="46" spans="1:23" ht="42.75" customHeight="1">
      <c r="A46" s="8">
        <v>30</v>
      </c>
      <c r="B46" s="9" t="s">
        <v>52</v>
      </c>
      <c r="C46" s="10">
        <f>'April 2022  '!H46</f>
        <v>7278.5899999999992</v>
      </c>
      <c r="D46" s="10">
        <v>6.76</v>
      </c>
      <c r="E46" s="10">
        <f>'April 2022  '!E46+'May 2022'!D46</f>
        <v>19.990000000000002</v>
      </c>
      <c r="F46" s="10">
        <v>0</v>
      </c>
      <c r="G46" s="10">
        <f>'April 2022  '!G46+'May 2022'!F46</f>
        <v>0</v>
      </c>
      <c r="H46" s="10">
        <f t="shared" si="0"/>
        <v>7285.3499999999995</v>
      </c>
      <c r="I46" s="10">
        <f>'April 2022  '!N46</f>
        <v>0</v>
      </c>
      <c r="J46" s="10">
        <v>0</v>
      </c>
      <c r="K46" s="10">
        <f>'April 2022  '!K46+'May 2022'!J46</f>
        <v>0</v>
      </c>
      <c r="L46" s="10">
        <v>0</v>
      </c>
      <c r="M46" s="10">
        <f>'April 2022  '!M46+'May 2022'!L46</f>
        <v>0</v>
      </c>
      <c r="N46" s="10">
        <f t="shared" si="1"/>
        <v>0</v>
      </c>
      <c r="O46" s="11">
        <f>'April 2022  '!T46</f>
        <v>7.5900000000000007</v>
      </c>
      <c r="P46" s="10">
        <v>0</v>
      </c>
      <c r="Q46" s="10">
        <f>'April 2022  '!Q46+'May 2022'!P46</f>
        <v>0</v>
      </c>
      <c r="R46" s="10">
        <v>0</v>
      </c>
      <c r="S46" s="10">
        <f>'April 2022  '!S46+'May 2022'!R46</f>
        <v>0.31</v>
      </c>
      <c r="T46" s="11">
        <f t="shared" si="2"/>
        <v>7.5900000000000007</v>
      </c>
      <c r="U46" s="11">
        <f t="shared" si="3"/>
        <v>7292.94</v>
      </c>
      <c r="V46" s="12"/>
      <c r="W46" s="12"/>
    </row>
    <row r="47" spans="1:23" ht="42.75" customHeight="1">
      <c r="A47" s="8">
        <v>31</v>
      </c>
      <c r="B47" s="9" t="s">
        <v>53</v>
      </c>
      <c r="C47" s="10">
        <f>'April 2022  '!H47</f>
        <v>12300.660000000002</v>
      </c>
      <c r="D47" s="10">
        <v>0.95</v>
      </c>
      <c r="E47" s="10">
        <f>'April 2022  '!E47+'May 2022'!D47</f>
        <v>8.35</v>
      </c>
      <c r="F47" s="10">
        <v>0</v>
      </c>
      <c r="G47" s="10">
        <f>'April 2022  '!G47+'May 2022'!F47</f>
        <v>0</v>
      </c>
      <c r="H47" s="10">
        <f t="shared" si="0"/>
        <v>12301.610000000002</v>
      </c>
      <c r="I47" s="10">
        <f>'April 2022  '!N47</f>
        <v>1.2999999999999998</v>
      </c>
      <c r="J47" s="10">
        <v>0</v>
      </c>
      <c r="K47" s="10">
        <f>'April 2022  '!K47+'May 2022'!J47</f>
        <v>0</v>
      </c>
      <c r="L47" s="10">
        <v>0</v>
      </c>
      <c r="M47" s="10">
        <f>'April 2022  '!M47+'May 2022'!L47</f>
        <v>0</v>
      </c>
      <c r="N47" s="10">
        <f t="shared" si="1"/>
        <v>1.2999999999999998</v>
      </c>
      <c r="O47" s="11">
        <f>'April 2022  '!T47</f>
        <v>86.18</v>
      </c>
      <c r="P47" s="10">
        <v>0</v>
      </c>
      <c r="Q47" s="10">
        <f>'April 2022  '!Q47+'May 2022'!P47</f>
        <v>0</v>
      </c>
      <c r="R47" s="10">
        <v>0</v>
      </c>
      <c r="S47" s="10">
        <f>'April 2022  '!S47+'May 2022'!R47</f>
        <v>0.1</v>
      </c>
      <c r="T47" s="11">
        <f t="shared" si="2"/>
        <v>86.18</v>
      </c>
      <c r="U47" s="11">
        <f t="shared" si="3"/>
        <v>12389.090000000002</v>
      </c>
      <c r="V47" s="12"/>
      <c r="W47" s="12"/>
    </row>
    <row r="48" spans="1:23" ht="42.75" customHeight="1">
      <c r="A48" s="8">
        <v>32</v>
      </c>
      <c r="B48" s="9" t="s">
        <v>54</v>
      </c>
      <c r="C48" s="10">
        <f>'April 2022  '!H48</f>
        <v>11091.042000000009</v>
      </c>
      <c r="D48" s="10">
        <v>0.3</v>
      </c>
      <c r="E48" s="10">
        <f>'April 2022  '!E48+'May 2022'!D48</f>
        <v>1.1499999999999999</v>
      </c>
      <c r="F48" s="10">
        <v>0</v>
      </c>
      <c r="G48" s="10">
        <f>'April 2022  '!G48+'May 2022'!F48</f>
        <v>0</v>
      </c>
      <c r="H48" s="10">
        <f t="shared" si="0"/>
        <v>11091.342000000008</v>
      </c>
      <c r="I48" s="10">
        <f>'April 2022  '!N48</f>
        <v>0</v>
      </c>
      <c r="J48" s="10">
        <v>0</v>
      </c>
      <c r="K48" s="10">
        <f>'April 2022  '!K48+'May 2022'!J48</f>
        <v>0</v>
      </c>
      <c r="L48" s="10">
        <v>0</v>
      </c>
      <c r="M48" s="10">
        <f>'April 2022  '!M48+'May 2022'!L48</f>
        <v>0</v>
      </c>
      <c r="N48" s="10">
        <f t="shared" si="1"/>
        <v>0</v>
      </c>
      <c r="O48" s="11">
        <f>'April 2022  '!T48</f>
        <v>30.53</v>
      </c>
      <c r="P48" s="10">
        <v>0</v>
      </c>
      <c r="Q48" s="10">
        <f>'April 2022  '!Q48+'May 2022'!P48</f>
        <v>0.53</v>
      </c>
      <c r="R48" s="10">
        <v>0</v>
      </c>
      <c r="S48" s="10">
        <f>'April 2022  '!S48+'May 2022'!R48</f>
        <v>0</v>
      </c>
      <c r="T48" s="11">
        <f t="shared" si="2"/>
        <v>30.53</v>
      </c>
      <c r="U48" s="11">
        <f t="shared" si="3"/>
        <v>11121.872000000008</v>
      </c>
      <c r="V48" s="12"/>
      <c r="W48" s="12"/>
    </row>
    <row r="49" spans="1:23" s="17" customFormat="1" ht="42.75" customHeight="1">
      <c r="A49" s="14"/>
      <c r="B49" s="15" t="s">
        <v>55</v>
      </c>
      <c r="C49" s="16">
        <f>SUM(C45:C48)</f>
        <v>44784.002000000008</v>
      </c>
      <c r="D49" s="16">
        <f t="shared" ref="D49:U49" si="14">SUM(D45:D48)</f>
        <v>62.08</v>
      </c>
      <c r="E49" s="16">
        <f t="shared" si="14"/>
        <v>88.050000000000011</v>
      </c>
      <c r="F49" s="16">
        <f t="shared" si="14"/>
        <v>0</v>
      </c>
      <c r="G49" s="16">
        <f t="shared" si="14"/>
        <v>0</v>
      </c>
      <c r="H49" s="16">
        <f t="shared" si="14"/>
        <v>44846.082000000009</v>
      </c>
      <c r="I49" s="16">
        <f t="shared" si="14"/>
        <v>7.9300000000000006</v>
      </c>
      <c r="J49" s="16">
        <f t="shared" si="14"/>
        <v>0</v>
      </c>
      <c r="K49" s="16">
        <f t="shared" si="14"/>
        <v>0</v>
      </c>
      <c r="L49" s="16">
        <f t="shared" si="14"/>
        <v>0</v>
      </c>
      <c r="M49" s="16">
        <f t="shared" si="14"/>
        <v>0</v>
      </c>
      <c r="N49" s="16">
        <f t="shared" si="14"/>
        <v>7.9300000000000006</v>
      </c>
      <c r="O49" s="16">
        <f t="shared" si="14"/>
        <v>214.08</v>
      </c>
      <c r="P49" s="16">
        <f t="shared" si="14"/>
        <v>0.04</v>
      </c>
      <c r="Q49" s="16">
        <f t="shared" si="14"/>
        <v>60.18</v>
      </c>
      <c r="R49" s="16">
        <f t="shared" si="14"/>
        <v>0</v>
      </c>
      <c r="S49" s="16">
        <f t="shared" si="14"/>
        <v>0.41000000000000003</v>
      </c>
      <c r="T49" s="16">
        <f t="shared" si="14"/>
        <v>214.12000000000003</v>
      </c>
      <c r="U49" s="16">
        <f t="shared" si="14"/>
        <v>45068.132000000012</v>
      </c>
      <c r="V49" s="59"/>
      <c r="W49" s="59"/>
    </row>
    <row r="50" spans="1:23" s="17" customFormat="1" ht="42.75" customHeight="1">
      <c r="A50" s="14"/>
      <c r="B50" s="15" t="s">
        <v>56</v>
      </c>
      <c r="C50" s="16">
        <f>C49+C44</f>
        <v>94941.903000000006</v>
      </c>
      <c r="D50" s="16">
        <f t="shared" ref="D50:U50" si="15">D49+D44</f>
        <v>200.15999999999997</v>
      </c>
      <c r="E50" s="16">
        <f t="shared" si="15"/>
        <v>328.85</v>
      </c>
      <c r="F50" s="16">
        <f t="shared" si="15"/>
        <v>0</v>
      </c>
      <c r="G50" s="16">
        <f t="shared" si="15"/>
        <v>0</v>
      </c>
      <c r="H50" s="16">
        <f t="shared" si="15"/>
        <v>95142.062999999995</v>
      </c>
      <c r="I50" s="16">
        <f t="shared" si="15"/>
        <v>7.9300000000000006</v>
      </c>
      <c r="J50" s="16">
        <f t="shared" si="15"/>
        <v>0</v>
      </c>
      <c r="K50" s="16">
        <f t="shared" si="15"/>
        <v>0</v>
      </c>
      <c r="L50" s="16">
        <f t="shared" si="15"/>
        <v>0</v>
      </c>
      <c r="M50" s="16">
        <f t="shared" si="15"/>
        <v>0</v>
      </c>
      <c r="N50" s="16">
        <f t="shared" si="15"/>
        <v>7.9300000000000006</v>
      </c>
      <c r="O50" s="16">
        <f t="shared" si="15"/>
        <v>214.08</v>
      </c>
      <c r="P50" s="16">
        <f t="shared" si="15"/>
        <v>0.04</v>
      </c>
      <c r="Q50" s="16">
        <f t="shared" si="15"/>
        <v>60.18</v>
      </c>
      <c r="R50" s="16">
        <f t="shared" si="15"/>
        <v>0</v>
      </c>
      <c r="S50" s="16">
        <f t="shared" si="15"/>
        <v>0.41000000000000003</v>
      </c>
      <c r="T50" s="16">
        <f t="shared" si="15"/>
        <v>214.12000000000003</v>
      </c>
      <c r="U50" s="16">
        <f t="shared" si="15"/>
        <v>95364.113000000012</v>
      </c>
      <c r="V50" s="59"/>
      <c r="W50" s="59"/>
    </row>
    <row r="51" spans="1:23" s="17" customFormat="1" ht="42.75" customHeight="1">
      <c r="A51" s="14"/>
      <c r="B51" s="15" t="s">
        <v>57</v>
      </c>
      <c r="C51" s="16">
        <f>C50+C39+C25</f>
        <v>172550.19</v>
      </c>
      <c r="D51" s="16">
        <f t="shared" ref="D51:U51" si="16">D50+D39+D25</f>
        <v>321.01499999999999</v>
      </c>
      <c r="E51" s="16">
        <f t="shared" si="16"/>
        <v>523.03500000000008</v>
      </c>
      <c r="F51" s="16">
        <f t="shared" si="16"/>
        <v>90.75</v>
      </c>
      <c r="G51" s="16">
        <f t="shared" si="16"/>
        <v>94.13</v>
      </c>
      <c r="H51" s="16">
        <f t="shared" si="16"/>
        <v>172780.45499999999</v>
      </c>
      <c r="I51" s="16">
        <f t="shared" si="16"/>
        <v>2058.2510000000002</v>
      </c>
      <c r="J51" s="16">
        <f t="shared" si="16"/>
        <v>7.0340000000000007</v>
      </c>
      <c r="K51" s="16">
        <f t="shared" si="16"/>
        <v>18.201999999999998</v>
      </c>
      <c r="L51" s="16">
        <f t="shared" si="16"/>
        <v>0</v>
      </c>
      <c r="M51" s="16">
        <f t="shared" si="16"/>
        <v>0</v>
      </c>
      <c r="N51" s="16">
        <f t="shared" si="16"/>
        <v>2065.2849999999999</v>
      </c>
      <c r="O51" s="16">
        <f t="shared" si="16"/>
        <v>5074.1939999999995</v>
      </c>
      <c r="P51" s="16">
        <f t="shared" si="16"/>
        <v>127.26</v>
      </c>
      <c r="Q51" s="16">
        <f t="shared" si="16"/>
        <v>332.54</v>
      </c>
      <c r="R51" s="16">
        <f t="shared" si="16"/>
        <v>0.18</v>
      </c>
      <c r="S51" s="16">
        <f t="shared" si="16"/>
        <v>73.209999999999994</v>
      </c>
      <c r="T51" s="16">
        <f t="shared" si="16"/>
        <v>5201.2740000000003</v>
      </c>
      <c r="U51" s="16">
        <f t="shared" si="16"/>
        <v>180047.014</v>
      </c>
      <c r="V51" s="59"/>
      <c r="W51" s="59"/>
    </row>
    <row r="52" spans="1:23" s="23" customFormat="1" ht="42.75" hidden="1" customHeight="1">
      <c r="A52" s="19"/>
      <c r="B52" s="20"/>
      <c r="C52" s="10">
        <f>'March 2022'!H52</f>
        <v>0</v>
      </c>
      <c r="D52" s="21"/>
      <c r="E52" s="10">
        <f t="shared" ref="E52:E53" si="17">D52</f>
        <v>0</v>
      </c>
      <c r="F52" s="21"/>
      <c r="G52" s="10">
        <f t="shared" ref="G52:G53" si="18">F52</f>
        <v>0</v>
      </c>
      <c r="H52" s="10">
        <f t="shared" si="0"/>
        <v>0</v>
      </c>
      <c r="I52" s="10">
        <f>'April 2022  '!N52</f>
        <v>0</v>
      </c>
      <c r="J52" s="21"/>
      <c r="K52" s="10">
        <f>'April 2022  '!K52+'May 2022'!J52</f>
        <v>0</v>
      </c>
      <c r="L52" s="21"/>
      <c r="M52" s="10">
        <f>'April 2022  '!M52+'May 2022'!L52</f>
        <v>0</v>
      </c>
      <c r="N52" s="21"/>
      <c r="O52" s="21"/>
      <c r="P52" s="21"/>
      <c r="Q52" s="10">
        <f t="shared" ref="Q52:Q53" si="19">P52</f>
        <v>0</v>
      </c>
      <c r="R52" s="21"/>
      <c r="S52" s="10">
        <f>'April 2022  '!S52+'May 2022'!R52</f>
        <v>0</v>
      </c>
      <c r="T52" s="21"/>
      <c r="U52" s="21"/>
      <c r="V52" s="21"/>
      <c r="W52" s="21"/>
    </row>
    <row r="53" spans="1:23" s="23" customFormat="1" hidden="1">
      <c r="A53" s="19"/>
      <c r="B53" s="20"/>
      <c r="C53" s="10">
        <f>'March 2022'!H53</f>
        <v>0</v>
      </c>
      <c r="D53" s="21"/>
      <c r="E53" s="10">
        <f t="shared" si="17"/>
        <v>0</v>
      </c>
      <c r="F53" s="21"/>
      <c r="G53" s="10">
        <f t="shared" si="18"/>
        <v>0</v>
      </c>
      <c r="H53" s="10">
        <f t="shared" si="0"/>
        <v>0</v>
      </c>
      <c r="I53" s="10">
        <f>'April 2022  '!N53</f>
        <v>0</v>
      </c>
      <c r="J53" s="21"/>
      <c r="K53" s="10">
        <f>'April 2022  '!K53+'May 2022'!J53</f>
        <v>0</v>
      </c>
      <c r="L53" s="21"/>
      <c r="M53" s="10">
        <f>'April 2022  '!M53+'May 2022'!L53</f>
        <v>0</v>
      </c>
      <c r="N53" s="21"/>
      <c r="O53" s="21"/>
      <c r="P53" s="24"/>
      <c r="Q53" s="10">
        <f t="shared" si="19"/>
        <v>0</v>
      </c>
      <c r="R53" s="21"/>
      <c r="S53" s="10">
        <f>'April 2022  '!S53+'May 2022'!R53</f>
        <v>0</v>
      </c>
      <c r="T53" s="25"/>
      <c r="U53" s="21"/>
      <c r="V53" s="21"/>
      <c r="W53" s="21"/>
    </row>
    <row r="54" spans="1:23" s="23" customFormat="1">
      <c r="A54" s="19"/>
      <c r="B54" s="20"/>
      <c r="C54" s="21"/>
      <c r="D54" s="21"/>
      <c r="E54" s="22"/>
      <c r="F54" s="21"/>
      <c r="G54" s="21"/>
      <c r="H54" s="21"/>
      <c r="I54" s="24"/>
      <c r="J54" s="21"/>
      <c r="K54" s="22"/>
      <c r="L54" s="21"/>
      <c r="M54" s="24"/>
      <c r="N54" s="21" t="s">
        <v>66</v>
      </c>
      <c r="O54" s="21"/>
      <c r="P54" s="24"/>
      <c r="Q54" s="22"/>
      <c r="R54" s="21"/>
      <c r="S54" s="24"/>
      <c r="T54" s="25"/>
      <c r="U54" s="21"/>
      <c r="V54" s="21"/>
      <c r="W54" s="21"/>
    </row>
    <row r="55" spans="1:23" s="23" customFormat="1">
      <c r="A55" s="19"/>
      <c r="B55" s="20"/>
      <c r="C55" s="21"/>
      <c r="D55" s="21"/>
      <c r="E55" s="22"/>
      <c r="F55" s="21"/>
      <c r="G55" s="21"/>
      <c r="H55" s="21"/>
      <c r="I55" s="24"/>
      <c r="J55" s="21"/>
      <c r="K55" s="22"/>
      <c r="L55" s="21"/>
      <c r="M55" s="24"/>
      <c r="N55" s="21"/>
      <c r="O55" s="21"/>
      <c r="P55" s="24"/>
      <c r="Q55" s="22"/>
      <c r="R55" s="21"/>
      <c r="S55" s="24"/>
      <c r="T55" s="25"/>
      <c r="U55" s="21"/>
      <c r="V55" s="21"/>
      <c r="W55" s="21"/>
    </row>
    <row r="56" spans="1:23" s="17" customFormat="1" ht="57" customHeight="1">
      <c r="A56" s="26"/>
      <c r="B56" s="27"/>
      <c r="C56" s="28">
        <f>C50+C39+C25</f>
        <v>172550.19</v>
      </c>
      <c r="D56" s="112" t="s">
        <v>58</v>
      </c>
      <c r="E56" s="112"/>
      <c r="F56" s="112"/>
      <c r="G56" s="112"/>
      <c r="H56" s="59">
        <f>D51+J51+P51-F51-L51-R51</f>
        <v>364.37899999999996</v>
      </c>
      <c r="I56" s="59"/>
      <c r="J56" s="59"/>
      <c r="K56" s="59"/>
      <c r="L56" s="59"/>
      <c r="M56" s="59"/>
      <c r="N56" s="59"/>
      <c r="O56" s="29"/>
      <c r="P56" s="59"/>
      <c r="Q56" s="59"/>
      <c r="R56" s="59"/>
      <c r="S56" s="59"/>
      <c r="T56" s="59"/>
      <c r="U56" s="60"/>
      <c r="V56" s="60"/>
      <c r="W56" s="60"/>
    </row>
    <row r="57" spans="1:23" s="17" customFormat="1" ht="66" customHeight="1">
      <c r="A57" s="26"/>
      <c r="B57" s="27"/>
      <c r="C57" s="59"/>
      <c r="D57" s="112" t="s">
        <v>59</v>
      </c>
      <c r="E57" s="112"/>
      <c r="F57" s="112"/>
      <c r="G57" s="112"/>
      <c r="H57" s="59">
        <f>E51+K51+Q51-G51-M51-S51</f>
        <v>706.43700000000001</v>
      </c>
      <c r="I57" s="59"/>
      <c r="J57" s="59"/>
      <c r="K57" s="59"/>
      <c r="L57" s="59"/>
      <c r="M57" s="59"/>
      <c r="N57" s="59"/>
      <c r="O57" s="29"/>
      <c r="P57" s="59"/>
      <c r="Q57" s="59"/>
      <c r="R57" s="59"/>
      <c r="S57" s="59"/>
      <c r="T57" s="59"/>
      <c r="U57" s="60"/>
      <c r="V57" s="60"/>
      <c r="W57" s="60"/>
    </row>
    <row r="58" spans="1:23" ht="54" customHeight="1">
      <c r="C58" s="28"/>
      <c r="D58" s="112" t="s">
        <v>60</v>
      </c>
      <c r="E58" s="112"/>
      <c r="F58" s="112"/>
      <c r="G58" s="112"/>
      <c r="H58" s="59">
        <f>H51+N51+T51</f>
        <v>180047.014</v>
      </c>
      <c r="I58" s="31"/>
      <c r="J58" s="31"/>
      <c r="K58" s="31"/>
      <c r="L58" s="32"/>
      <c r="M58" s="32"/>
      <c r="N58" s="45" t="e">
        <f>#REF!+'May 2022'!H56</f>
        <v>#REF!</v>
      </c>
      <c r="O58" s="12"/>
      <c r="P58" s="31"/>
      <c r="Q58" s="31"/>
      <c r="T58" s="41"/>
      <c r="U58" s="12"/>
      <c r="V58" s="12"/>
      <c r="W58" s="12"/>
    </row>
    <row r="59" spans="1:23" ht="42.75" customHeight="1">
      <c r="C59" s="60"/>
      <c r="D59" s="60"/>
      <c r="E59" s="1"/>
      <c r="H59" s="31"/>
      <c r="J59" s="33" t="e">
        <f>#REF!+'May 2022'!H56</f>
        <v>#REF!</v>
      </c>
      <c r="K59" s="31"/>
      <c r="L59" s="33" t="e">
        <f>#REF!+'May 2022'!H56</f>
        <v>#REF!</v>
      </c>
      <c r="M59" s="31"/>
      <c r="O59" s="12"/>
    </row>
    <row r="60" spans="1:23" s="17" customFormat="1" ht="78.75" customHeight="1">
      <c r="B60" s="114" t="s">
        <v>61</v>
      </c>
      <c r="C60" s="114"/>
      <c r="D60" s="114"/>
      <c r="E60" s="114"/>
      <c r="F60" s="114"/>
      <c r="H60" s="1"/>
      <c r="I60" s="34" t="e">
        <f>#REF!+'May 2022'!H56</f>
        <v>#REF!</v>
      </c>
      <c r="J60" s="1"/>
      <c r="K60" s="31"/>
      <c r="L60" s="31"/>
      <c r="M60" s="33">
        <f>'March 2022'!H58+'May 2022'!H56</f>
        <v>179704.95599999995</v>
      </c>
      <c r="Q60" s="114" t="s">
        <v>62</v>
      </c>
      <c r="R60" s="114"/>
      <c r="S60" s="114"/>
      <c r="T60" s="114"/>
      <c r="U60" s="114"/>
    </row>
    <row r="61" spans="1:23" s="17" customFormat="1" ht="45.75" customHeight="1">
      <c r="B61" s="114" t="s">
        <v>63</v>
      </c>
      <c r="C61" s="114"/>
      <c r="D61" s="114"/>
      <c r="E61" s="114"/>
      <c r="F61" s="114"/>
      <c r="G61" s="35"/>
      <c r="H61" s="36">
        <f>'[1]feb 2021'!H58+'May 2022'!H56</f>
        <v>177202.022</v>
      </c>
      <c r="I61" s="35"/>
      <c r="J61" s="28"/>
      <c r="K61" s="31"/>
      <c r="L61" s="31"/>
      <c r="M61" s="31"/>
      <c r="Q61" s="114" t="s">
        <v>63</v>
      </c>
      <c r="R61" s="114"/>
      <c r="S61" s="114"/>
      <c r="T61" s="114"/>
      <c r="U61" s="114"/>
    </row>
    <row r="62" spans="1:23" s="17" customFormat="1">
      <c r="B62" s="27"/>
      <c r="F62" s="37"/>
      <c r="I62" s="35"/>
      <c r="J62" s="37"/>
      <c r="Q62" s="60"/>
      <c r="R62" s="60"/>
      <c r="S62" s="2"/>
      <c r="T62" s="60"/>
      <c r="U62" s="60"/>
      <c r="V62" s="60"/>
      <c r="W62" s="60"/>
    </row>
    <row r="63" spans="1:23" s="17" customFormat="1" ht="61.5" customHeight="1">
      <c r="B63" s="27"/>
      <c r="G63" s="36">
        <f>'[1]May 2020'!H56+'May 2022'!H56</f>
        <v>175095.34</v>
      </c>
      <c r="J63" s="113" t="s">
        <v>64</v>
      </c>
      <c r="K63" s="113"/>
      <c r="L63" s="113"/>
      <c r="O63" s="60"/>
      <c r="S63" s="37"/>
      <c r="U63" s="60"/>
      <c r="V63" s="60"/>
      <c r="W63" s="60"/>
    </row>
    <row r="64" spans="1:23" s="17" customFormat="1" ht="58.5" customHeight="1">
      <c r="B64" s="27"/>
      <c r="H64" s="1"/>
      <c r="J64" s="113" t="s">
        <v>65</v>
      </c>
      <c r="K64" s="113"/>
      <c r="L64" s="113"/>
      <c r="O64" s="60"/>
      <c r="S64" s="37"/>
      <c r="U64" s="60"/>
      <c r="V64" s="60"/>
      <c r="W64" s="60"/>
    </row>
    <row r="66" spans="2:23">
      <c r="G66" s="31"/>
      <c r="H66" s="33" t="e">
        <f>#REF!+'May 2022'!H56</f>
        <v>#REF!</v>
      </c>
    </row>
    <row r="67" spans="2:23">
      <c r="H67" s="31"/>
      <c r="J67" s="31"/>
    </row>
    <row r="69" spans="2:23">
      <c r="B69" s="3"/>
      <c r="G69" s="38"/>
      <c r="O69" s="3"/>
      <c r="U69" s="3"/>
      <c r="V69" s="3"/>
      <c r="W69" s="3"/>
    </row>
  </sheetData>
  <mergeCells count="29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  <mergeCell ref="D57:G57"/>
    <mergeCell ref="H5:H6"/>
    <mergeCell ref="I5:I6"/>
    <mergeCell ref="J5:K5"/>
    <mergeCell ref="L5:M5"/>
    <mergeCell ref="D56:G56"/>
    <mergeCell ref="J64:L64"/>
    <mergeCell ref="D58:G58"/>
    <mergeCell ref="B60:F60"/>
    <mergeCell ref="Q60:U60"/>
    <mergeCell ref="B61:F61"/>
    <mergeCell ref="Q61:U61"/>
    <mergeCell ref="J63:L63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9"/>
  <sheetViews>
    <sheetView zoomScale="36" zoomScaleNormal="36" zoomScaleSheetLayoutView="25" workbookViewId="0">
      <pane ySplit="6" topLeftCell="A37" activePane="bottomLeft" state="frozen"/>
      <selection pane="bottomLeft" activeCell="J13" sqref="J13"/>
    </sheetView>
  </sheetViews>
  <sheetFormatPr defaultRowHeight="33"/>
  <cols>
    <col min="1" max="1" width="16.7109375" style="3" customWidth="1"/>
    <col min="2" max="2" width="45.5703125" style="30" customWidth="1"/>
    <col min="3" max="3" width="36.5703125" style="3" customWidth="1"/>
    <col min="4" max="4" width="28.140625" style="3" customWidth="1"/>
    <col min="5" max="5" width="40.28515625" style="3" customWidth="1"/>
    <col min="6" max="6" width="32.42578125" style="3" customWidth="1"/>
    <col min="7" max="7" width="28.140625" style="3" customWidth="1"/>
    <col min="8" max="8" width="41.85546875" style="3" customWidth="1"/>
    <col min="9" max="9" width="29.5703125" style="3" customWidth="1"/>
    <col min="10" max="10" width="39.42578125" style="3" customWidth="1"/>
    <col min="11" max="11" width="28.140625" style="3" customWidth="1"/>
    <col min="12" max="12" width="36.7109375" style="3" customWidth="1"/>
    <col min="13" max="13" width="30.140625" style="3" customWidth="1"/>
    <col min="14" max="14" width="28.140625" style="3" customWidth="1"/>
    <col min="15" max="15" width="47.28515625" style="5" customWidth="1"/>
    <col min="16" max="16" width="32.7109375" style="3" customWidth="1"/>
    <col min="17" max="17" width="34.5703125" style="3" customWidth="1"/>
    <col min="18" max="18" width="36" style="3" customWidth="1"/>
    <col min="19" max="19" width="28.140625" style="6" customWidth="1"/>
    <col min="20" max="20" width="28.140625" style="3" customWidth="1"/>
    <col min="21" max="21" width="36.7109375" style="5" customWidth="1"/>
    <col min="22" max="22" width="41.42578125" style="5" customWidth="1"/>
    <col min="23" max="23" width="26" style="5" customWidth="1"/>
    <col min="24" max="16384" width="9.140625" style="3"/>
  </cols>
  <sheetData>
    <row r="1" spans="1:183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2"/>
      <c r="W1" s="2"/>
    </row>
    <row r="2" spans="1:183" ht="7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2"/>
      <c r="W2" s="2"/>
    </row>
    <row r="3" spans="1:183" ht="35.25" customHeight="1">
      <c r="A3" s="110" t="s">
        <v>77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2"/>
      <c r="W3" s="2"/>
    </row>
    <row r="4" spans="1:183" s="6" customFormat="1" ht="32.25" customHeight="1">
      <c r="A4" s="110" t="s">
        <v>1</v>
      </c>
      <c r="B4" s="110" t="s">
        <v>2</v>
      </c>
      <c r="C4" s="110" t="s">
        <v>3</v>
      </c>
      <c r="D4" s="110"/>
      <c r="E4" s="110"/>
      <c r="F4" s="110"/>
      <c r="G4" s="110"/>
      <c r="H4" s="110"/>
      <c r="I4" s="110" t="s">
        <v>4</v>
      </c>
      <c r="J4" s="111"/>
      <c r="K4" s="111"/>
      <c r="L4" s="111"/>
      <c r="M4" s="111"/>
      <c r="N4" s="111"/>
      <c r="O4" s="110" t="s">
        <v>5</v>
      </c>
      <c r="P4" s="111"/>
      <c r="Q4" s="111"/>
      <c r="R4" s="111"/>
      <c r="S4" s="111"/>
      <c r="T4" s="111"/>
      <c r="U4" s="4"/>
      <c r="V4" s="5"/>
      <c r="W4" s="5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</row>
    <row r="5" spans="1:183" s="6" customFormat="1" ht="41.25" customHeight="1">
      <c r="A5" s="110"/>
      <c r="B5" s="110"/>
      <c r="C5" s="110" t="s">
        <v>6</v>
      </c>
      <c r="D5" s="110" t="s">
        <v>7</v>
      </c>
      <c r="E5" s="110"/>
      <c r="F5" s="110" t="s">
        <v>8</v>
      </c>
      <c r="G5" s="110"/>
      <c r="H5" s="110" t="s">
        <v>9</v>
      </c>
      <c r="I5" s="110" t="s">
        <v>6</v>
      </c>
      <c r="J5" s="110" t="s">
        <v>7</v>
      </c>
      <c r="K5" s="110"/>
      <c r="L5" s="110" t="s">
        <v>8</v>
      </c>
      <c r="M5" s="110"/>
      <c r="N5" s="110" t="s">
        <v>9</v>
      </c>
      <c r="O5" s="110" t="s">
        <v>10</v>
      </c>
      <c r="P5" s="110" t="s">
        <v>7</v>
      </c>
      <c r="Q5" s="110"/>
      <c r="R5" s="110" t="s">
        <v>8</v>
      </c>
      <c r="S5" s="110"/>
      <c r="T5" s="110" t="s">
        <v>9</v>
      </c>
      <c r="U5" s="110" t="s">
        <v>11</v>
      </c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s="6" customFormat="1" ht="60" customHeight="1">
      <c r="A6" s="110"/>
      <c r="B6" s="110"/>
      <c r="C6" s="110"/>
      <c r="D6" s="66" t="s">
        <v>12</v>
      </c>
      <c r="E6" s="66" t="s">
        <v>13</v>
      </c>
      <c r="F6" s="66" t="s">
        <v>12</v>
      </c>
      <c r="G6" s="66" t="s">
        <v>13</v>
      </c>
      <c r="H6" s="110"/>
      <c r="I6" s="110"/>
      <c r="J6" s="7" t="s">
        <v>12</v>
      </c>
      <c r="K6" s="66" t="s">
        <v>13</v>
      </c>
      <c r="L6" s="66" t="s">
        <v>12</v>
      </c>
      <c r="M6" s="66" t="s">
        <v>13</v>
      </c>
      <c r="N6" s="110"/>
      <c r="O6" s="110"/>
      <c r="P6" s="66" t="s">
        <v>12</v>
      </c>
      <c r="Q6" s="66" t="s">
        <v>13</v>
      </c>
      <c r="R6" s="66" t="s">
        <v>12</v>
      </c>
      <c r="S6" s="66" t="s">
        <v>13</v>
      </c>
      <c r="T6" s="110"/>
      <c r="U6" s="110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</row>
    <row r="7" spans="1:183" ht="42.75" customHeight="1">
      <c r="A7" s="8">
        <v>1</v>
      </c>
      <c r="B7" s="9" t="s">
        <v>14</v>
      </c>
      <c r="C7" s="10">
        <f>'May 2022'!H7</f>
        <v>208.77000000000064</v>
      </c>
      <c r="D7" s="10">
        <v>0</v>
      </c>
      <c r="E7" s="10">
        <f>'May 2022'!E7+'June 2022'!D7</f>
        <v>47.73</v>
      </c>
      <c r="F7" s="10">
        <v>0</v>
      </c>
      <c r="G7" s="10">
        <f>'May 2022'!G7+'June 2022'!F7</f>
        <v>0</v>
      </c>
      <c r="H7" s="10">
        <f>C7+D7-F7</f>
        <v>208.77000000000064</v>
      </c>
      <c r="I7" s="10">
        <f>'May 2022'!N7</f>
        <v>131.42499999999995</v>
      </c>
      <c r="J7" s="10">
        <v>0.04</v>
      </c>
      <c r="K7" s="10">
        <f>'May 2022'!K7+'June 2022'!J7</f>
        <v>0.66</v>
      </c>
      <c r="L7" s="10">
        <v>0</v>
      </c>
      <c r="M7" s="10">
        <f>'May 2022'!M7+'June 2022'!L7</f>
        <v>0</v>
      </c>
      <c r="N7" s="10">
        <f>I7+J7-L7</f>
        <v>131.46499999999995</v>
      </c>
      <c r="O7" s="11">
        <f>'May 2022'!T7</f>
        <v>284.1400000000001</v>
      </c>
      <c r="P7" s="10">
        <v>0</v>
      </c>
      <c r="Q7" s="10">
        <f>'May 2022'!Q7+'June 2022'!P7</f>
        <v>0.46</v>
      </c>
      <c r="R7" s="10">
        <v>0</v>
      </c>
      <c r="S7" s="10">
        <f>'May 2022'!S7+'June 2022'!R7</f>
        <v>0</v>
      </c>
      <c r="T7" s="11">
        <f>O7+P7-R7</f>
        <v>284.1400000000001</v>
      </c>
      <c r="U7" s="11">
        <f>H7+N7+T7</f>
        <v>624.37500000000068</v>
      </c>
      <c r="V7" s="12"/>
      <c r="W7" s="12"/>
    </row>
    <row r="8" spans="1:183" ht="42.75" customHeight="1">
      <c r="A8" s="8">
        <v>2</v>
      </c>
      <c r="B8" s="9" t="s">
        <v>15</v>
      </c>
      <c r="C8" s="10">
        <f>'May 2022'!H8</f>
        <v>497.565</v>
      </c>
      <c r="D8" s="10">
        <v>0.09</v>
      </c>
      <c r="E8" s="10">
        <f>'May 2022'!E8+'June 2022'!D8</f>
        <v>0.18</v>
      </c>
      <c r="F8" s="10">
        <v>0</v>
      </c>
      <c r="G8" s="10">
        <f>'May 2022'!G8+'June 2022'!F8</f>
        <v>0</v>
      </c>
      <c r="H8" s="10">
        <f t="shared" ref="H8:H53" si="0">C8+D8-F8</f>
        <v>497.65499999999997</v>
      </c>
      <c r="I8" s="10">
        <f>'May 2022'!N8</f>
        <v>121.232</v>
      </c>
      <c r="J8" s="10">
        <v>1.34</v>
      </c>
      <c r="K8" s="10">
        <f>'May 2022'!K8+'June 2022'!J8</f>
        <v>2.5419999999999998</v>
      </c>
      <c r="L8" s="10">
        <v>0</v>
      </c>
      <c r="M8" s="10">
        <f>'May 2022'!M8+'June 2022'!L8</f>
        <v>0</v>
      </c>
      <c r="N8" s="10">
        <f t="shared" ref="N8:N48" si="1">I8+J8-L8</f>
        <v>122.572</v>
      </c>
      <c r="O8" s="11">
        <f>'May 2022'!T8</f>
        <v>222.27000000000004</v>
      </c>
      <c r="P8" s="10">
        <v>0</v>
      </c>
      <c r="Q8" s="10">
        <f>'May 2022'!Q8+'June 2022'!P8</f>
        <v>34.629999999999995</v>
      </c>
      <c r="R8" s="10">
        <v>0</v>
      </c>
      <c r="S8" s="10">
        <f>'May 2022'!S8+'June 2022'!R8</f>
        <v>0</v>
      </c>
      <c r="T8" s="11">
        <f t="shared" ref="T8:T48" si="2">O8+P8-R8</f>
        <v>222.27000000000004</v>
      </c>
      <c r="U8" s="11">
        <f t="shared" ref="U8:U48" si="3">H8+N8+T8</f>
        <v>842.49700000000007</v>
      </c>
      <c r="V8" s="12"/>
      <c r="W8" s="12"/>
    </row>
    <row r="9" spans="1:183" ht="42.75" customHeight="1">
      <c r="A9" s="8">
        <v>3</v>
      </c>
      <c r="B9" s="9" t="s">
        <v>16</v>
      </c>
      <c r="C9" s="10">
        <f>'May 2022'!H9</f>
        <v>653.9599999999997</v>
      </c>
      <c r="D9" s="10">
        <v>0</v>
      </c>
      <c r="E9" s="10">
        <f>'May 2022'!E9+'June 2022'!D9</f>
        <v>0</v>
      </c>
      <c r="F9" s="10">
        <v>0</v>
      </c>
      <c r="G9" s="10">
        <f>'May 2022'!G9+'June 2022'!F9</f>
        <v>90</v>
      </c>
      <c r="H9" s="10">
        <f t="shared" si="0"/>
        <v>653.9599999999997</v>
      </c>
      <c r="I9" s="10">
        <f>'May 2022'!N9</f>
        <v>199.22300000000004</v>
      </c>
      <c r="J9" s="10">
        <v>2.2999999999999998</v>
      </c>
      <c r="K9" s="10">
        <f>'May 2022'!K9+'June 2022'!J9</f>
        <v>4.1899999999999995</v>
      </c>
      <c r="L9" s="10">
        <v>0</v>
      </c>
      <c r="M9" s="10">
        <f>'May 2022'!M9+'June 2022'!L9</f>
        <v>0</v>
      </c>
      <c r="N9" s="10">
        <f t="shared" si="1"/>
        <v>201.52300000000005</v>
      </c>
      <c r="O9" s="11">
        <f>'May 2022'!T9</f>
        <v>157.63999999999999</v>
      </c>
      <c r="P9" s="10">
        <v>0</v>
      </c>
      <c r="Q9" s="10">
        <f>'May 2022'!Q9+'June 2022'!P9</f>
        <v>16.2</v>
      </c>
      <c r="R9" s="10">
        <v>0</v>
      </c>
      <c r="S9" s="10">
        <f>'May 2022'!S9+'June 2022'!R9</f>
        <v>0</v>
      </c>
      <c r="T9" s="11">
        <f t="shared" si="2"/>
        <v>157.63999999999999</v>
      </c>
      <c r="U9" s="11">
        <f t="shared" si="3"/>
        <v>1013.1229999999997</v>
      </c>
      <c r="V9" s="12"/>
      <c r="W9" s="12"/>
    </row>
    <row r="10" spans="1:183" ht="42.75" customHeight="1">
      <c r="A10" s="8">
        <v>4</v>
      </c>
      <c r="B10" s="13" t="s">
        <v>17</v>
      </c>
      <c r="C10" s="10">
        <f>'May 2022'!H10</f>
        <v>0</v>
      </c>
      <c r="D10" s="10">
        <v>0</v>
      </c>
      <c r="E10" s="10">
        <f>'May 2022'!E10+'June 2022'!D10</f>
        <v>0</v>
      </c>
      <c r="F10" s="10">
        <v>0</v>
      </c>
      <c r="G10" s="10">
        <f>'May 2022'!G10+'June 2022'!F10</f>
        <v>0</v>
      </c>
      <c r="H10" s="10">
        <f t="shared" si="0"/>
        <v>0</v>
      </c>
      <c r="I10" s="10">
        <f>'May 2022'!N10</f>
        <v>142.25400000000008</v>
      </c>
      <c r="J10" s="10">
        <v>0.25</v>
      </c>
      <c r="K10" s="10">
        <f>'May 2022'!K10+'June 2022'!J10</f>
        <v>0.47</v>
      </c>
      <c r="L10" s="10">
        <v>0</v>
      </c>
      <c r="M10" s="10">
        <f>'May 2022'!M10+'June 2022'!L10</f>
        <v>0</v>
      </c>
      <c r="N10" s="10">
        <f t="shared" si="1"/>
        <v>142.50400000000008</v>
      </c>
      <c r="O10" s="11">
        <f>'May 2022'!T10</f>
        <v>233.16999999999996</v>
      </c>
      <c r="P10" s="10">
        <v>1.08</v>
      </c>
      <c r="Q10" s="10">
        <f>'May 2022'!Q10+'June 2022'!P10</f>
        <v>1.08</v>
      </c>
      <c r="R10" s="10">
        <v>0</v>
      </c>
      <c r="S10" s="10">
        <f>'May 2022'!S10+'June 2022'!R10</f>
        <v>0</v>
      </c>
      <c r="T10" s="11">
        <f t="shared" si="2"/>
        <v>234.24999999999997</v>
      </c>
      <c r="U10" s="11">
        <f t="shared" si="3"/>
        <v>376.75400000000002</v>
      </c>
      <c r="V10" s="12"/>
      <c r="W10" s="12"/>
    </row>
    <row r="11" spans="1:183" s="17" customFormat="1" ht="42.75" customHeight="1">
      <c r="A11" s="14"/>
      <c r="B11" s="15" t="s">
        <v>18</v>
      </c>
      <c r="C11" s="16">
        <f>SUM(C7:C10)</f>
        <v>1360.2950000000003</v>
      </c>
      <c r="D11" s="16">
        <f t="shared" ref="D11:U11" si="4">SUM(D7:D10)</f>
        <v>0.09</v>
      </c>
      <c r="E11" s="16">
        <f t="shared" si="4"/>
        <v>47.91</v>
      </c>
      <c r="F11" s="16">
        <f t="shared" si="4"/>
        <v>0</v>
      </c>
      <c r="G11" s="16">
        <f t="shared" si="4"/>
        <v>90</v>
      </c>
      <c r="H11" s="16">
        <f t="shared" si="4"/>
        <v>1360.3850000000002</v>
      </c>
      <c r="I11" s="16">
        <f t="shared" si="4"/>
        <v>594.13400000000001</v>
      </c>
      <c r="J11" s="16">
        <f t="shared" si="4"/>
        <v>3.9299999999999997</v>
      </c>
      <c r="K11" s="16">
        <f t="shared" si="4"/>
        <v>7.8619999999999992</v>
      </c>
      <c r="L11" s="16">
        <f t="shared" si="4"/>
        <v>0</v>
      </c>
      <c r="M11" s="16">
        <f t="shared" si="4"/>
        <v>0</v>
      </c>
      <c r="N11" s="16">
        <f t="shared" si="4"/>
        <v>598.06400000000008</v>
      </c>
      <c r="O11" s="16">
        <f t="shared" si="4"/>
        <v>897.22000000000014</v>
      </c>
      <c r="P11" s="16">
        <f t="shared" si="4"/>
        <v>1.08</v>
      </c>
      <c r="Q11" s="16">
        <f t="shared" si="4"/>
        <v>52.36999999999999</v>
      </c>
      <c r="R11" s="16">
        <f t="shared" si="4"/>
        <v>0</v>
      </c>
      <c r="S11" s="16">
        <f t="shared" si="4"/>
        <v>0</v>
      </c>
      <c r="T11" s="16">
        <f t="shared" si="4"/>
        <v>898.30000000000018</v>
      </c>
      <c r="U11" s="16">
        <f t="shared" si="4"/>
        <v>2856.7490000000003</v>
      </c>
      <c r="V11" s="64"/>
      <c r="W11" s="64"/>
    </row>
    <row r="12" spans="1:183" ht="42.75" customHeight="1">
      <c r="A12" s="8">
        <v>5</v>
      </c>
      <c r="B12" s="9" t="s">
        <v>19</v>
      </c>
      <c r="C12" s="10">
        <f>'May 2022'!H12</f>
        <v>1653.4899999999991</v>
      </c>
      <c r="D12" s="10">
        <v>0</v>
      </c>
      <c r="E12" s="10">
        <f>'May 2022'!E12+'June 2022'!D12</f>
        <v>0</v>
      </c>
      <c r="F12" s="10">
        <v>0</v>
      </c>
      <c r="G12" s="10">
        <f>'May 2022'!G12+'June 2022'!F12</f>
        <v>0</v>
      </c>
      <c r="H12" s="10">
        <f t="shared" si="0"/>
        <v>1653.4899999999991</v>
      </c>
      <c r="I12" s="10">
        <f>'May 2022'!N12</f>
        <v>122.09300000000002</v>
      </c>
      <c r="J12" s="10">
        <v>0.4</v>
      </c>
      <c r="K12" s="10">
        <f>'May 2022'!K12+'June 2022'!J12</f>
        <v>0.8600000000000001</v>
      </c>
      <c r="L12" s="10">
        <v>0</v>
      </c>
      <c r="M12" s="10">
        <f>'May 2022'!M12+'June 2022'!L12</f>
        <v>0</v>
      </c>
      <c r="N12" s="10">
        <f t="shared" si="1"/>
        <v>122.49300000000002</v>
      </c>
      <c r="O12" s="11">
        <f>'May 2022'!T12</f>
        <v>610.4</v>
      </c>
      <c r="P12" s="10">
        <v>0</v>
      </c>
      <c r="Q12" s="10">
        <f>'May 2022'!Q12+'June 2022'!P12</f>
        <v>31.49</v>
      </c>
      <c r="R12" s="10">
        <v>0</v>
      </c>
      <c r="S12" s="10">
        <f>'May 2022'!S12+'June 2022'!R12</f>
        <v>0</v>
      </c>
      <c r="T12" s="11">
        <f t="shared" si="2"/>
        <v>610.4</v>
      </c>
      <c r="U12" s="11">
        <f t="shared" si="3"/>
        <v>2386.3829999999989</v>
      </c>
      <c r="V12" s="12"/>
      <c r="W12" s="12"/>
    </row>
    <row r="13" spans="1:183" ht="42.75" customHeight="1">
      <c r="A13" s="8">
        <v>6</v>
      </c>
      <c r="B13" s="9" t="s">
        <v>20</v>
      </c>
      <c r="C13" s="10">
        <f>'May 2022'!H13</f>
        <v>1023.7699999999998</v>
      </c>
      <c r="D13" s="10">
        <v>0</v>
      </c>
      <c r="E13" s="10">
        <f>'May 2022'!E13+'June 2022'!D13</f>
        <v>0</v>
      </c>
      <c r="F13" s="10">
        <v>0</v>
      </c>
      <c r="G13" s="10">
        <f>'May 2022'!G13+'June 2022'!F13</f>
        <v>0</v>
      </c>
      <c r="H13" s="10">
        <f t="shared" si="0"/>
        <v>1023.7699999999998</v>
      </c>
      <c r="I13" s="10">
        <f>'May 2022'!N13</f>
        <v>149.95400000000009</v>
      </c>
      <c r="J13" s="10">
        <v>0.72</v>
      </c>
      <c r="K13" s="10">
        <f>'May 2022'!K13+'June 2022'!J13</f>
        <v>2.3600000000000003</v>
      </c>
      <c r="L13" s="10">
        <v>0</v>
      </c>
      <c r="M13" s="10">
        <f>'May 2022'!M13+'June 2022'!L13</f>
        <v>0</v>
      </c>
      <c r="N13" s="10">
        <f t="shared" si="1"/>
        <v>150.67400000000009</v>
      </c>
      <c r="O13" s="11">
        <f>'May 2022'!T13</f>
        <v>87.2</v>
      </c>
      <c r="P13" s="10">
        <v>0</v>
      </c>
      <c r="Q13" s="10">
        <f>'May 2022'!Q13+'June 2022'!P13</f>
        <v>0.67</v>
      </c>
      <c r="R13" s="10">
        <v>0</v>
      </c>
      <c r="S13" s="10">
        <f>'May 2022'!S13+'June 2022'!R13</f>
        <v>0</v>
      </c>
      <c r="T13" s="11">
        <f t="shared" si="2"/>
        <v>87.2</v>
      </c>
      <c r="U13" s="11">
        <f t="shared" si="3"/>
        <v>1261.644</v>
      </c>
      <c r="V13" s="12"/>
      <c r="W13" s="12"/>
    </row>
    <row r="14" spans="1:183" ht="42.75" customHeight="1">
      <c r="A14" s="8">
        <v>7</v>
      </c>
      <c r="B14" s="9" t="s">
        <v>21</v>
      </c>
      <c r="C14" s="10">
        <f>'May 2022'!H14</f>
        <v>2084.5799999999995</v>
      </c>
      <c r="D14" s="10">
        <v>0</v>
      </c>
      <c r="E14" s="10">
        <f>'May 2022'!E14+'June 2022'!D14</f>
        <v>0</v>
      </c>
      <c r="F14" s="10">
        <v>0</v>
      </c>
      <c r="G14" s="10">
        <f>'May 2022'!G14+'June 2022'!F14</f>
        <v>0</v>
      </c>
      <c r="H14" s="10">
        <f t="shared" si="0"/>
        <v>2084.5799999999995</v>
      </c>
      <c r="I14" s="10">
        <f>'May 2022'!N14</f>
        <v>194.68399999999997</v>
      </c>
      <c r="J14" s="10">
        <v>0.27</v>
      </c>
      <c r="K14" s="10">
        <f>'May 2022'!K14+'June 2022'!J14</f>
        <v>1.1000000000000001</v>
      </c>
      <c r="L14" s="10">
        <v>0</v>
      </c>
      <c r="M14" s="10">
        <f>'May 2022'!M14+'June 2022'!L14</f>
        <v>0</v>
      </c>
      <c r="N14" s="10">
        <f t="shared" si="1"/>
        <v>194.95399999999998</v>
      </c>
      <c r="O14" s="11">
        <f>'May 2022'!T14</f>
        <v>383.88999999999993</v>
      </c>
      <c r="P14" s="10">
        <v>0.08</v>
      </c>
      <c r="Q14" s="10">
        <f>'May 2022'!Q14+'June 2022'!P14</f>
        <v>31.81</v>
      </c>
      <c r="R14" s="10">
        <v>0</v>
      </c>
      <c r="S14" s="10">
        <f>'May 2022'!S14+'June 2022'!R14</f>
        <v>0</v>
      </c>
      <c r="T14" s="11">
        <f t="shared" si="2"/>
        <v>383.96999999999991</v>
      </c>
      <c r="U14" s="11">
        <f t="shared" si="3"/>
        <v>2663.5039999999995</v>
      </c>
      <c r="V14" s="12"/>
      <c r="W14" s="12"/>
    </row>
    <row r="15" spans="1:183" s="17" customFormat="1" ht="42.75" customHeight="1">
      <c r="A15" s="14" t="s">
        <v>22</v>
      </c>
      <c r="B15" s="15" t="s">
        <v>23</v>
      </c>
      <c r="C15" s="16">
        <f>SUM(C12:C14)</f>
        <v>4761.8399999999983</v>
      </c>
      <c r="D15" s="16">
        <f t="shared" ref="D15:U15" si="5">SUM(D12:D14)</f>
        <v>0</v>
      </c>
      <c r="E15" s="16">
        <f t="shared" si="5"/>
        <v>0</v>
      </c>
      <c r="F15" s="16">
        <f t="shared" si="5"/>
        <v>0</v>
      </c>
      <c r="G15" s="16">
        <f t="shared" si="5"/>
        <v>0</v>
      </c>
      <c r="H15" s="16">
        <f t="shared" si="5"/>
        <v>4761.8399999999983</v>
      </c>
      <c r="I15" s="16">
        <f t="shared" si="5"/>
        <v>466.73100000000011</v>
      </c>
      <c r="J15" s="16">
        <f t="shared" si="5"/>
        <v>1.3900000000000001</v>
      </c>
      <c r="K15" s="16">
        <f t="shared" si="5"/>
        <v>4.32</v>
      </c>
      <c r="L15" s="16">
        <f t="shared" si="5"/>
        <v>0</v>
      </c>
      <c r="M15" s="16">
        <f t="shared" si="5"/>
        <v>0</v>
      </c>
      <c r="N15" s="16">
        <f t="shared" si="5"/>
        <v>468.12100000000009</v>
      </c>
      <c r="O15" s="16">
        <f t="shared" si="5"/>
        <v>1081.49</v>
      </c>
      <c r="P15" s="16">
        <f t="shared" si="5"/>
        <v>0.08</v>
      </c>
      <c r="Q15" s="16">
        <f t="shared" si="5"/>
        <v>63.97</v>
      </c>
      <c r="R15" s="16">
        <f t="shared" si="5"/>
        <v>0</v>
      </c>
      <c r="S15" s="16">
        <f t="shared" si="5"/>
        <v>0</v>
      </c>
      <c r="T15" s="16">
        <f t="shared" si="5"/>
        <v>1081.57</v>
      </c>
      <c r="U15" s="16">
        <f t="shared" si="5"/>
        <v>6311.530999999999</v>
      </c>
      <c r="V15" s="64"/>
      <c r="W15" s="64"/>
    </row>
    <row r="16" spans="1:183" ht="42.75" customHeight="1">
      <c r="A16" s="8">
        <v>8</v>
      </c>
      <c r="B16" s="9" t="s">
        <v>24</v>
      </c>
      <c r="C16" s="10">
        <f>'May 2022'!H16</f>
        <v>1746.9519999999993</v>
      </c>
      <c r="D16" s="10">
        <v>1.29</v>
      </c>
      <c r="E16" s="10">
        <f>'May 2022'!E16+'June 2022'!D16</f>
        <v>2.38</v>
      </c>
      <c r="F16" s="10">
        <v>0.75</v>
      </c>
      <c r="G16" s="10">
        <f>'May 2022'!G16+'June 2022'!F16</f>
        <v>1.5</v>
      </c>
      <c r="H16" s="10">
        <f t="shared" si="0"/>
        <v>1747.4919999999993</v>
      </c>
      <c r="I16" s="10">
        <f>'May 2022'!N16</f>
        <v>111.12000000000002</v>
      </c>
      <c r="J16" s="10">
        <v>0.05</v>
      </c>
      <c r="K16" s="10">
        <f>'May 2022'!K16+'June 2022'!J16</f>
        <v>0.15000000000000002</v>
      </c>
      <c r="L16" s="10">
        <v>0</v>
      </c>
      <c r="M16" s="10">
        <f>'May 2022'!M16+'June 2022'!L16</f>
        <v>0</v>
      </c>
      <c r="N16" s="10">
        <f t="shared" si="1"/>
        <v>111.17000000000002</v>
      </c>
      <c r="O16" s="11">
        <f>'May 2022'!T16</f>
        <v>112.20899999999999</v>
      </c>
      <c r="P16" s="10">
        <v>1.47</v>
      </c>
      <c r="Q16" s="10">
        <f>'May 2022'!Q16+'June 2022'!P16</f>
        <v>2.2799999999999998</v>
      </c>
      <c r="R16" s="10">
        <v>0</v>
      </c>
      <c r="S16" s="10">
        <f>'May 2022'!S16+'June 2022'!R16</f>
        <v>0</v>
      </c>
      <c r="T16" s="11">
        <f t="shared" si="2"/>
        <v>113.67899999999999</v>
      </c>
      <c r="U16" s="11">
        <f t="shared" si="3"/>
        <v>1972.3409999999994</v>
      </c>
      <c r="V16" s="12"/>
      <c r="W16" s="12"/>
    </row>
    <row r="17" spans="1:23" ht="57.75" customHeight="1">
      <c r="A17" s="8">
        <v>9</v>
      </c>
      <c r="B17" s="9" t="s">
        <v>25</v>
      </c>
      <c r="C17" s="10">
        <f>'May 2022'!H17</f>
        <v>199.43399999999986</v>
      </c>
      <c r="D17" s="10">
        <v>39.92</v>
      </c>
      <c r="E17" s="10">
        <f>'May 2022'!E17+'June 2022'!D17</f>
        <v>39.92</v>
      </c>
      <c r="F17" s="10">
        <v>0</v>
      </c>
      <c r="G17" s="10">
        <f>'May 2022'!G17+'June 2022'!F17</f>
        <v>0</v>
      </c>
      <c r="H17" s="10">
        <f t="shared" si="0"/>
        <v>239.35399999999987</v>
      </c>
      <c r="I17" s="10">
        <f>'May 2022'!N17</f>
        <v>23.086999999999993</v>
      </c>
      <c r="J17" s="10">
        <v>3.46</v>
      </c>
      <c r="K17" s="10">
        <f>'May 2022'!K17+'June 2022'!J17</f>
        <v>4.47</v>
      </c>
      <c r="L17" s="10">
        <v>0.99</v>
      </c>
      <c r="M17" s="10">
        <f>'May 2022'!M17+'June 2022'!L17</f>
        <v>0.99</v>
      </c>
      <c r="N17" s="10">
        <f t="shared" si="1"/>
        <v>25.556999999999995</v>
      </c>
      <c r="O17" s="11">
        <f>'May 2022'!T17</f>
        <v>430.20100000000002</v>
      </c>
      <c r="P17" s="10">
        <v>33.130000000000003</v>
      </c>
      <c r="Q17" s="10">
        <f>'May 2022'!Q17+'June 2022'!P17</f>
        <v>55.06</v>
      </c>
      <c r="R17" s="10">
        <v>70.959999999999994</v>
      </c>
      <c r="S17" s="10">
        <f>'May 2022'!S17+'June 2022'!R17</f>
        <v>70.959999999999994</v>
      </c>
      <c r="T17" s="11">
        <f t="shared" si="2"/>
        <v>392.37100000000004</v>
      </c>
      <c r="U17" s="11">
        <f t="shared" si="3"/>
        <v>657.28199999999993</v>
      </c>
      <c r="V17" s="12"/>
      <c r="W17" s="12"/>
    </row>
    <row r="18" spans="1:23" ht="42.75" customHeight="1">
      <c r="A18" s="8">
        <v>10</v>
      </c>
      <c r="B18" s="9" t="s">
        <v>26</v>
      </c>
      <c r="C18" s="10">
        <f>'May 2022'!H18</f>
        <v>669.86499999999933</v>
      </c>
      <c r="D18" s="10">
        <v>0</v>
      </c>
      <c r="E18" s="10">
        <f>'May 2022'!E18+'June 2022'!D18</f>
        <v>0</v>
      </c>
      <c r="F18" s="10">
        <v>0</v>
      </c>
      <c r="G18" s="10">
        <f>'May 2022'!G18+'June 2022'!F18</f>
        <v>0</v>
      </c>
      <c r="H18" s="10">
        <f t="shared" si="0"/>
        <v>669.86499999999933</v>
      </c>
      <c r="I18" s="10">
        <f>'May 2022'!N18</f>
        <v>16.839999999999989</v>
      </c>
      <c r="J18" s="10">
        <f>0.17+0.19</f>
        <v>0.36</v>
      </c>
      <c r="K18" s="10">
        <f>'May 2022'!K18+'June 2022'!J18</f>
        <v>0.83</v>
      </c>
      <c r="L18" s="10">
        <v>0</v>
      </c>
      <c r="M18" s="10">
        <f>'May 2022'!M18+'June 2022'!L18</f>
        <v>0</v>
      </c>
      <c r="N18" s="10">
        <f t="shared" si="1"/>
        <v>17.199999999999989</v>
      </c>
      <c r="O18" s="11">
        <f>'May 2022'!T18</f>
        <v>217.12799999999999</v>
      </c>
      <c r="P18" s="10">
        <v>22.3</v>
      </c>
      <c r="Q18" s="10">
        <f>'May 2022'!Q18+'June 2022'!P18</f>
        <v>44.53</v>
      </c>
      <c r="R18" s="10">
        <v>0</v>
      </c>
      <c r="S18" s="10">
        <f>'May 2022'!S18+'June 2022'!R18</f>
        <v>0</v>
      </c>
      <c r="T18" s="11">
        <f t="shared" si="2"/>
        <v>239.428</v>
      </c>
      <c r="U18" s="11">
        <f t="shared" si="3"/>
        <v>926.49299999999937</v>
      </c>
      <c r="V18" s="12"/>
      <c r="W18" s="12"/>
    </row>
    <row r="19" spans="1:23" s="17" customFormat="1" ht="42.75" customHeight="1">
      <c r="A19" s="14"/>
      <c r="B19" s="15" t="s">
        <v>27</v>
      </c>
      <c r="C19" s="16">
        <f>SUM(C16:C18)</f>
        <v>2616.2509999999984</v>
      </c>
      <c r="D19" s="16">
        <f t="shared" ref="D19:U19" si="6">SUM(D16:D18)</f>
        <v>41.21</v>
      </c>
      <c r="E19" s="16">
        <f t="shared" si="6"/>
        <v>42.300000000000004</v>
      </c>
      <c r="F19" s="16">
        <f t="shared" si="6"/>
        <v>0.75</v>
      </c>
      <c r="G19" s="16">
        <f t="shared" si="6"/>
        <v>1.5</v>
      </c>
      <c r="H19" s="16">
        <f t="shared" si="6"/>
        <v>2656.7109999999984</v>
      </c>
      <c r="I19" s="16">
        <f t="shared" si="6"/>
        <v>151.04700000000003</v>
      </c>
      <c r="J19" s="16">
        <f t="shared" si="6"/>
        <v>3.8699999999999997</v>
      </c>
      <c r="K19" s="16">
        <f t="shared" si="6"/>
        <v>5.45</v>
      </c>
      <c r="L19" s="16">
        <f t="shared" si="6"/>
        <v>0.99</v>
      </c>
      <c r="M19" s="16">
        <f t="shared" si="6"/>
        <v>0.99</v>
      </c>
      <c r="N19" s="16">
        <f t="shared" si="6"/>
        <v>153.92699999999999</v>
      </c>
      <c r="O19" s="16">
        <f t="shared" si="6"/>
        <v>759.53800000000001</v>
      </c>
      <c r="P19" s="16">
        <f t="shared" si="6"/>
        <v>56.900000000000006</v>
      </c>
      <c r="Q19" s="16">
        <f t="shared" si="6"/>
        <v>101.87</v>
      </c>
      <c r="R19" s="16">
        <f t="shared" si="6"/>
        <v>70.959999999999994</v>
      </c>
      <c r="S19" s="16">
        <f t="shared" si="6"/>
        <v>70.959999999999994</v>
      </c>
      <c r="T19" s="16">
        <f t="shared" si="6"/>
        <v>745.47800000000007</v>
      </c>
      <c r="U19" s="16">
        <f t="shared" si="6"/>
        <v>3556.1159999999991</v>
      </c>
      <c r="V19" s="64"/>
      <c r="W19" s="64"/>
    </row>
    <row r="20" spans="1:23" ht="42.75" customHeight="1">
      <c r="A20" s="8">
        <v>11</v>
      </c>
      <c r="B20" s="9" t="s">
        <v>28</v>
      </c>
      <c r="C20" s="10">
        <f>'May 2022'!H20</f>
        <v>1204.3949999999993</v>
      </c>
      <c r="D20" s="10">
        <v>0</v>
      </c>
      <c r="E20" s="10">
        <f>'May 2022'!E20+'June 2022'!D20</f>
        <v>0.85</v>
      </c>
      <c r="F20" s="10">
        <v>180</v>
      </c>
      <c r="G20" s="10">
        <f>'May 2022'!G20+'June 2022'!F20</f>
        <v>180</v>
      </c>
      <c r="H20" s="10">
        <f t="shared" si="0"/>
        <v>1024.3949999999993</v>
      </c>
      <c r="I20" s="10">
        <f>'May 2022'!N20</f>
        <v>153.13100000000003</v>
      </c>
      <c r="J20" s="10">
        <v>0.09</v>
      </c>
      <c r="K20" s="10">
        <f>'May 2022'!K20+'June 2022'!J20</f>
        <v>0.92</v>
      </c>
      <c r="L20" s="10">
        <v>0</v>
      </c>
      <c r="M20" s="10">
        <f>'May 2022'!M20+'June 2022'!L20</f>
        <v>0</v>
      </c>
      <c r="N20" s="10">
        <f t="shared" si="1"/>
        <v>153.22100000000003</v>
      </c>
      <c r="O20" s="11">
        <f>'May 2022'!T20</f>
        <v>344.64099999999991</v>
      </c>
      <c r="P20" s="10">
        <v>346.04</v>
      </c>
      <c r="Q20" s="10">
        <f>'May 2022'!Q20+'June 2022'!P20</f>
        <v>348.75</v>
      </c>
      <c r="R20" s="10">
        <v>0</v>
      </c>
      <c r="S20" s="10">
        <f>'May 2022'!S20+'June 2022'!R20</f>
        <v>0</v>
      </c>
      <c r="T20" s="11">
        <f t="shared" si="2"/>
        <v>690.68099999999993</v>
      </c>
      <c r="U20" s="11">
        <f t="shared" si="3"/>
        <v>1868.2969999999991</v>
      </c>
      <c r="V20" s="12"/>
      <c r="W20" s="12"/>
    </row>
    <row r="21" spans="1:23" ht="42.75" customHeight="1">
      <c r="A21" s="8">
        <v>12</v>
      </c>
      <c r="B21" s="9" t="s">
        <v>29</v>
      </c>
      <c r="C21" s="10">
        <f>'May 2022'!H21</f>
        <v>142.68999999999988</v>
      </c>
      <c r="D21" s="10">
        <v>0</v>
      </c>
      <c r="E21" s="10">
        <f>'May 2022'!E21+'June 2022'!D21</f>
        <v>0</v>
      </c>
      <c r="F21" s="10">
        <v>0</v>
      </c>
      <c r="G21" s="10">
        <f>'May 2022'!G21+'June 2022'!F21</f>
        <v>0</v>
      </c>
      <c r="H21" s="10">
        <f t="shared" si="0"/>
        <v>142.68999999999988</v>
      </c>
      <c r="I21" s="10">
        <f>'May 2022'!N21</f>
        <v>50.433000000000021</v>
      </c>
      <c r="J21" s="10">
        <v>0.05</v>
      </c>
      <c r="K21" s="10">
        <f>'May 2022'!K21+'June 2022'!J21</f>
        <v>0.32</v>
      </c>
      <c r="L21" s="10">
        <v>0</v>
      </c>
      <c r="M21" s="10">
        <f>'May 2022'!M21+'June 2022'!L21</f>
        <v>0</v>
      </c>
      <c r="N21" s="10">
        <f t="shared" si="1"/>
        <v>50.483000000000018</v>
      </c>
      <c r="O21" s="11">
        <f>'May 2022'!T21</f>
        <v>266.5</v>
      </c>
      <c r="P21" s="10">
        <v>0</v>
      </c>
      <c r="Q21" s="10">
        <f>'May 2022'!Q21+'June 2022'!P21</f>
        <v>0</v>
      </c>
      <c r="R21" s="10">
        <v>0</v>
      </c>
      <c r="S21" s="10">
        <f>'May 2022'!S21+'June 2022'!R21</f>
        <v>0</v>
      </c>
      <c r="T21" s="11">
        <f t="shared" si="2"/>
        <v>266.5</v>
      </c>
      <c r="U21" s="11">
        <f t="shared" si="3"/>
        <v>459.67299999999989</v>
      </c>
      <c r="V21" s="12"/>
      <c r="W21" s="12"/>
    </row>
    <row r="22" spans="1:23" ht="42.75" customHeight="1">
      <c r="A22" s="8">
        <v>13</v>
      </c>
      <c r="B22" s="9" t="s">
        <v>30</v>
      </c>
      <c r="C22" s="10">
        <f>'May 2022'!H22</f>
        <v>27.069999999999879</v>
      </c>
      <c r="D22" s="10">
        <v>0</v>
      </c>
      <c r="E22" s="10">
        <f>'May 2022'!E22+'June 2022'!D22</f>
        <v>0</v>
      </c>
      <c r="F22" s="10">
        <v>0</v>
      </c>
      <c r="G22" s="10">
        <f>'May 2022'!G22+'June 2022'!F22</f>
        <v>0</v>
      </c>
      <c r="H22" s="10">
        <f t="shared" si="0"/>
        <v>27.069999999999879</v>
      </c>
      <c r="I22" s="10">
        <f>'May 2022'!N22</f>
        <v>15.620000000000005</v>
      </c>
      <c r="J22" s="10">
        <v>0.05</v>
      </c>
      <c r="K22" s="10">
        <f>'May 2022'!K22+'June 2022'!J22</f>
        <v>7.0000000000000007E-2</v>
      </c>
      <c r="L22" s="10">
        <v>0</v>
      </c>
      <c r="M22" s="10">
        <f>'May 2022'!M22+'June 2022'!L22</f>
        <v>0</v>
      </c>
      <c r="N22" s="10">
        <f t="shared" si="1"/>
        <v>15.670000000000005</v>
      </c>
      <c r="O22" s="11">
        <f>'May 2022'!T22</f>
        <v>671.94999999999993</v>
      </c>
      <c r="P22" s="10">
        <v>0</v>
      </c>
      <c r="Q22" s="10">
        <f>'May 2022'!Q22+'June 2022'!P22</f>
        <v>0.44</v>
      </c>
      <c r="R22" s="10">
        <v>0</v>
      </c>
      <c r="S22" s="10">
        <f>'May 2022'!S22+'June 2022'!R22</f>
        <v>0</v>
      </c>
      <c r="T22" s="11">
        <f t="shared" si="2"/>
        <v>671.94999999999993</v>
      </c>
      <c r="U22" s="11">
        <f t="shared" si="3"/>
        <v>714.68999999999983</v>
      </c>
      <c r="V22" s="12"/>
      <c r="W22" s="12"/>
    </row>
    <row r="23" spans="1:23" ht="42.75" customHeight="1">
      <c r="A23" s="8">
        <v>14</v>
      </c>
      <c r="B23" s="9" t="s">
        <v>31</v>
      </c>
      <c r="C23" s="10">
        <f>'May 2022'!H23</f>
        <v>1182.6619999999998</v>
      </c>
      <c r="D23" s="10">
        <v>2.16</v>
      </c>
      <c r="E23" s="10">
        <f>'May 2022'!E23+'June 2022'!D23</f>
        <v>11.86</v>
      </c>
      <c r="F23" s="10">
        <v>75</v>
      </c>
      <c r="G23" s="10">
        <f>'May 2022'!G23+'June 2022'!F23</f>
        <v>75</v>
      </c>
      <c r="H23" s="10">
        <f t="shared" si="0"/>
        <v>1109.8219999999999</v>
      </c>
      <c r="I23" s="10">
        <f>'May 2022'!N23</f>
        <v>15.693999999999997</v>
      </c>
      <c r="J23" s="10">
        <v>0.37</v>
      </c>
      <c r="K23" s="10">
        <f>'May 2022'!K23+'June 2022'!J23</f>
        <v>0.77</v>
      </c>
      <c r="L23" s="10">
        <v>0</v>
      </c>
      <c r="M23" s="10">
        <f>'May 2022'!M23+'June 2022'!L23</f>
        <v>0</v>
      </c>
      <c r="N23" s="10">
        <f t="shared" si="1"/>
        <v>16.063999999999997</v>
      </c>
      <c r="O23" s="11">
        <f>'May 2022'!T23</f>
        <v>248.935</v>
      </c>
      <c r="P23" s="10">
        <v>65.84</v>
      </c>
      <c r="Q23" s="10">
        <f>'May 2022'!Q23+'June 2022'!P23</f>
        <v>147.49</v>
      </c>
      <c r="R23" s="10">
        <v>0</v>
      </c>
      <c r="S23" s="10">
        <f>'May 2022'!S23+'June 2022'!R23</f>
        <v>0</v>
      </c>
      <c r="T23" s="11">
        <f t="shared" si="2"/>
        <v>314.77499999999998</v>
      </c>
      <c r="U23" s="11">
        <f t="shared" si="3"/>
        <v>1440.6610000000001</v>
      </c>
      <c r="V23" s="12"/>
      <c r="W23" s="12"/>
    </row>
    <row r="24" spans="1:23" s="17" customFormat="1" ht="42.75" customHeight="1">
      <c r="A24" s="14"/>
      <c r="B24" s="15" t="s">
        <v>32</v>
      </c>
      <c r="C24" s="16">
        <f>SUM(C20:C23)</f>
        <v>2556.8169999999991</v>
      </c>
      <c r="D24" s="16">
        <f t="shared" ref="D24:U24" si="7">SUM(D20:D23)</f>
        <v>2.16</v>
      </c>
      <c r="E24" s="16">
        <f t="shared" si="7"/>
        <v>12.709999999999999</v>
      </c>
      <c r="F24" s="16">
        <f t="shared" si="7"/>
        <v>255</v>
      </c>
      <c r="G24" s="16">
        <f t="shared" si="7"/>
        <v>255</v>
      </c>
      <c r="H24" s="16">
        <f t="shared" si="7"/>
        <v>2303.976999999999</v>
      </c>
      <c r="I24" s="16">
        <f t="shared" si="7"/>
        <v>234.87800000000004</v>
      </c>
      <c r="J24" s="16">
        <f t="shared" si="7"/>
        <v>0.56000000000000005</v>
      </c>
      <c r="K24" s="16">
        <f t="shared" si="7"/>
        <v>2.08</v>
      </c>
      <c r="L24" s="16">
        <f t="shared" si="7"/>
        <v>0</v>
      </c>
      <c r="M24" s="16">
        <f t="shared" si="7"/>
        <v>0</v>
      </c>
      <c r="N24" s="16">
        <f t="shared" si="7"/>
        <v>235.43800000000007</v>
      </c>
      <c r="O24" s="16">
        <f t="shared" si="7"/>
        <v>1532.0259999999998</v>
      </c>
      <c r="P24" s="16">
        <f t="shared" si="7"/>
        <v>411.88</v>
      </c>
      <c r="Q24" s="16">
        <f t="shared" si="7"/>
        <v>496.68</v>
      </c>
      <c r="R24" s="16">
        <f t="shared" si="7"/>
        <v>0</v>
      </c>
      <c r="S24" s="16">
        <f t="shared" si="7"/>
        <v>0</v>
      </c>
      <c r="T24" s="16">
        <f t="shared" si="7"/>
        <v>1943.9059999999999</v>
      </c>
      <c r="U24" s="16">
        <f t="shared" si="7"/>
        <v>4483.320999999999</v>
      </c>
      <c r="V24" s="64"/>
      <c r="W24" s="64"/>
    </row>
    <row r="25" spans="1:23" s="17" customFormat="1" ht="42.75" customHeight="1">
      <c r="A25" s="14"/>
      <c r="B25" s="15" t="s">
        <v>33</v>
      </c>
      <c r="C25" s="16">
        <f>C24+C19+C15+C11</f>
        <v>11295.202999999996</v>
      </c>
      <c r="D25" s="16">
        <f t="shared" ref="D25:U25" si="8">D24+D19+D15+D11</f>
        <v>43.460000000000008</v>
      </c>
      <c r="E25" s="16">
        <f t="shared" si="8"/>
        <v>102.92</v>
      </c>
      <c r="F25" s="16">
        <f t="shared" si="8"/>
        <v>255.75</v>
      </c>
      <c r="G25" s="16">
        <f t="shared" si="8"/>
        <v>346.5</v>
      </c>
      <c r="H25" s="16">
        <f t="shared" si="8"/>
        <v>11082.912999999995</v>
      </c>
      <c r="I25" s="16">
        <f t="shared" si="8"/>
        <v>1446.7900000000002</v>
      </c>
      <c r="J25" s="16">
        <f t="shared" si="8"/>
        <v>9.75</v>
      </c>
      <c r="K25" s="16">
        <f t="shared" si="8"/>
        <v>19.712</v>
      </c>
      <c r="L25" s="16">
        <f t="shared" si="8"/>
        <v>0.99</v>
      </c>
      <c r="M25" s="16">
        <f t="shared" si="8"/>
        <v>0.99</v>
      </c>
      <c r="N25" s="16">
        <f t="shared" si="8"/>
        <v>1455.5500000000002</v>
      </c>
      <c r="O25" s="16">
        <f t="shared" si="8"/>
        <v>4270.2740000000003</v>
      </c>
      <c r="P25" s="16">
        <f t="shared" si="8"/>
        <v>469.93999999999994</v>
      </c>
      <c r="Q25" s="16">
        <f t="shared" si="8"/>
        <v>714.89</v>
      </c>
      <c r="R25" s="16">
        <f t="shared" si="8"/>
        <v>70.959999999999994</v>
      </c>
      <c r="S25" s="16">
        <f t="shared" si="8"/>
        <v>70.959999999999994</v>
      </c>
      <c r="T25" s="16">
        <f t="shared" si="8"/>
        <v>4669.2539999999999</v>
      </c>
      <c r="U25" s="16">
        <f t="shared" si="8"/>
        <v>17207.716999999997</v>
      </c>
      <c r="V25" s="64"/>
      <c r="W25" s="64"/>
    </row>
    <row r="26" spans="1:23" ht="42.75" customHeight="1">
      <c r="A26" s="8">
        <v>15</v>
      </c>
      <c r="B26" s="9" t="s">
        <v>34</v>
      </c>
      <c r="C26" s="10">
        <f>'May 2022'!H26</f>
        <v>1191.5019999999993</v>
      </c>
      <c r="D26" s="10">
        <v>1.78</v>
      </c>
      <c r="E26" s="10">
        <f>'May 2022'!E26+'June 2022'!D26</f>
        <v>9.6399999999999988</v>
      </c>
      <c r="F26" s="10">
        <v>0</v>
      </c>
      <c r="G26" s="10">
        <f>'May 2022'!G26+'June 2022'!F26</f>
        <v>0</v>
      </c>
      <c r="H26" s="10">
        <f t="shared" si="0"/>
        <v>1193.2819999999992</v>
      </c>
      <c r="I26" s="10">
        <f>'May 2022'!N26</f>
        <v>0</v>
      </c>
      <c r="J26" s="10">
        <v>0</v>
      </c>
      <c r="K26" s="10">
        <f>'May 2022'!K26+'June 2022'!J26</f>
        <v>0</v>
      </c>
      <c r="L26" s="10">
        <v>0</v>
      </c>
      <c r="M26" s="10">
        <f>'May 2022'!M26+'June 2022'!L26</f>
        <v>0</v>
      </c>
      <c r="N26" s="10">
        <f t="shared" si="1"/>
        <v>0</v>
      </c>
      <c r="O26" s="11">
        <f>'May 2022'!T26</f>
        <v>156.79</v>
      </c>
      <c r="P26" s="10">
        <v>9.02</v>
      </c>
      <c r="Q26" s="10">
        <f>'May 2022'!Q26+'June 2022'!P26</f>
        <v>36.43</v>
      </c>
      <c r="R26" s="10">
        <v>0</v>
      </c>
      <c r="S26" s="10">
        <f>'May 2022'!S26+'June 2022'!R26</f>
        <v>0.18</v>
      </c>
      <c r="T26" s="11">
        <f t="shared" si="2"/>
        <v>165.81</v>
      </c>
      <c r="U26" s="11">
        <f t="shared" si="3"/>
        <v>1359.0919999999992</v>
      </c>
      <c r="V26" s="115"/>
      <c r="W26" s="12"/>
    </row>
    <row r="27" spans="1:23" ht="42.75" customHeight="1">
      <c r="A27" s="8">
        <v>16</v>
      </c>
      <c r="B27" s="9" t="s">
        <v>67</v>
      </c>
      <c r="C27" s="10">
        <f>'May 2022'!H27</f>
        <v>10322.696999999993</v>
      </c>
      <c r="D27" s="10">
        <v>9.6300000000000008</v>
      </c>
      <c r="E27" s="10">
        <f>'May 2022'!E27+'June 2022'!D27</f>
        <v>34.14</v>
      </c>
      <c r="F27" s="10">
        <v>0</v>
      </c>
      <c r="G27" s="10">
        <f>'May 2022'!G27+'June 2022'!F27</f>
        <v>0</v>
      </c>
      <c r="H27" s="10">
        <f t="shared" si="0"/>
        <v>10332.326999999992</v>
      </c>
      <c r="I27" s="10">
        <f>'May 2022'!N27</f>
        <v>390.29499999999996</v>
      </c>
      <c r="J27" s="10">
        <v>0.67</v>
      </c>
      <c r="K27" s="10">
        <f>'May 2022'!K27+'June 2022'!J27</f>
        <v>5.93</v>
      </c>
      <c r="L27" s="10">
        <v>0</v>
      </c>
      <c r="M27" s="10">
        <f>'May 2022'!M27+'June 2022'!L27</f>
        <v>0</v>
      </c>
      <c r="N27" s="10">
        <f t="shared" si="1"/>
        <v>390.96499999999997</v>
      </c>
      <c r="O27" s="11">
        <f>'May 2022'!T27</f>
        <v>30.140000000000008</v>
      </c>
      <c r="P27" s="10">
        <v>0</v>
      </c>
      <c r="Q27" s="10">
        <f>'May 2022'!Q27+'June 2022'!P27</f>
        <v>0</v>
      </c>
      <c r="R27" s="10">
        <v>0</v>
      </c>
      <c r="S27" s="10">
        <f>'May 2022'!S27+'June 2022'!R27</f>
        <v>45.21</v>
      </c>
      <c r="T27" s="11">
        <f t="shared" si="2"/>
        <v>30.140000000000008</v>
      </c>
      <c r="U27" s="11">
        <f t="shared" si="3"/>
        <v>10753.431999999992</v>
      </c>
      <c r="V27" s="115"/>
      <c r="W27" s="12"/>
    </row>
    <row r="28" spans="1:23" s="17" customFormat="1" ht="42.75" customHeight="1">
      <c r="A28" s="14"/>
      <c r="B28" s="15" t="s">
        <v>35</v>
      </c>
      <c r="C28" s="16">
        <f>SUM(C26:C27)</f>
        <v>11514.198999999991</v>
      </c>
      <c r="D28" s="16">
        <f t="shared" ref="D28:U28" si="9">SUM(D26:D27)</f>
        <v>11.41</v>
      </c>
      <c r="E28" s="16">
        <f t="shared" si="9"/>
        <v>43.78</v>
      </c>
      <c r="F28" s="16">
        <f t="shared" si="9"/>
        <v>0</v>
      </c>
      <c r="G28" s="16">
        <f t="shared" si="9"/>
        <v>0</v>
      </c>
      <c r="H28" s="16">
        <f t="shared" si="9"/>
        <v>11525.608999999991</v>
      </c>
      <c r="I28" s="16">
        <f t="shared" si="9"/>
        <v>390.29499999999996</v>
      </c>
      <c r="J28" s="16">
        <f t="shared" si="9"/>
        <v>0.67</v>
      </c>
      <c r="K28" s="16">
        <f t="shared" si="9"/>
        <v>5.93</v>
      </c>
      <c r="L28" s="16">
        <f t="shared" si="9"/>
        <v>0</v>
      </c>
      <c r="M28" s="16">
        <f t="shared" si="9"/>
        <v>0</v>
      </c>
      <c r="N28" s="16">
        <f t="shared" si="9"/>
        <v>390.96499999999997</v>
      </c>
      <c r="O28" s="16">
        <f t="shared" si="9"/>
        <v>186.93</v>
      </c>
      <c r="P28" s="16">
        <f t="shared" si="9"/>
        <v>9.02</v>
      </c>
      <c r="Q28" s="16">
        <f t="shared" si="9"/>
        <v>36.43</v>
      </c>
      <c r="R28" s="16">
        <f t="shared" si="9"/>
        <v>0</v>
      </c>
      <c r="S28" s="16">
        <f t="shared" si="9"/>
        <v>45.39</v>
      </c>
      <c r="T28" s="16">
        <f t="shared" si="9"/>
        <v>195.95000000000002</v>
      </c>
      <c r="U28" s="16">
        <f t="shared" si="9"/>
        <v>12112.52399999999</v>
      </c>
      <c r="V28" s="64"/>
      <c r="W28" s="64"/>
    </row>
    <row r="29" spans="1:23" ht="42.75" customHeight="1">
      <c r="A29" s="8">
        <v>17</v>
      </c>
      <c r="B29" s="9" t="s">
        <v>36</v>
      </c>
      <c r="C29" s="10">
        <f>'May 2022'!H29</f>
        <v>4424.9930000000013</v>
      </c>
      <c r="D29" s="10">
        <v>8.19</v>
      </c>
      <c r="E29" s="10">
        <f>'May 2022'!E29+'June 2022'!D29</f>
        <v>31.57</v>
      </c>
      <c r="F29" s="10">
        <v>0</v>
      </c>
      <c r="G29" s="10">
        <f>'May 2022'!G29+'June 2022'!F29</f>
        <v>0</v>
      </c>
      <c r="H29" s="10">
        <f t="shared" si="0"/>
        <v>4433.1830000000009</v>
      </c>
      <c r="I29" s="10">
        <f>'May 2022'!N29</f>
        <v>71.69</v>
      </c>
      <c r="J29" s="10">
        <v>37.659999999999997</v>
      </c>
      <c r="K29" s="10">
        <f>'May 2022'!K29+'June 2022'!J29</f>
        <v>37.659999999999997</v>
      </c>
      <c r="L29" s="10">
        <v>0</v>
      </c>
      <c r="M29" s="10">
        <f>'May 2022'!M29+'June 2022'!L29</f>
        <v>0</v>
      </c>
      <c r="N29" s="10">
        <f t="shared" si="1"/>
        <v>109.35</v>
      </c>
      <c r="O29" s="11">
        <f>'May 2022'!T29</f>
        <v>138.08000000000001</v>
      </c>
      <c r="P29" s="10">
        <v>0</v>
      </c>
      <c r="Q29" s="10">
        <f>'May 2022'!Q29+'June 2022'!P29</f>
        <v>0</v>
      </c>
      <c r="R29" s="10">
        <v>0</v>
      </c>
      <c r="S29" s="10">
        <f>'May 2022'!S29+'June 2022'!R29</f>
        <v>0</v>
      </c>
      <c r="T29" s="11">
        <f t="shared" si="2"/>
        <v>138.08000000000001</v>
      </c>
      <c r="U29" s="11">
        <f t="shared" si="3"/>
        <v>4680.6130000000012</v>
      </c>
      <c r="V29" s="12"/>
      <c r="W29" s="12"/>
    </row>
    <row r="30" spans="1:23" ht="42.75" customHeight="1">
      <c r="A30" s="8">
        <v>18</v>
      </c>
      <c r="B30" s="9" t="s">
        <v>37</v>
      </c>
      <c r="C30" s="10">
        <f>'May 2022'!H30+155.17</f>
        <v>6194.7440000000024</v>
      </c>
      <c r="D30" s="10">
        <v>11.65</v>
      </c>
      <c r="E30" s="10">
        <f>'May 2022'!E30+'June 2022'!D30</f>
        <v>31.049999999999997</v>
      </c>
      <c r="F30" s="10">
        <v>0</v>
      </c>
      <c r="G30" s="10">
        <f>'May 2022'!G30+'June 2022'!F30</f>
        <v>0</v>
      </c>
      <c r="H30" s="10">
        <f t="shared" si="0"/>
        <v>6206.3940000000021</v>
      </c>
      <c r="I30" s="10">
        <f>'May 2022'!N30</f>
        <v>0</v>
      </c>
      <c r="J30" s="10">
        <v>23.6</v>
      </c>
      <c r="K30" s="10">
        <f>'May 2022'!K30+'June 2022'!J30</f>
        <v>23.6</v>
      </c>
      <c r="L30" s="10">
        <v>0</v>
      </c>
      <c r="M30" s="10">
        <f>'May 2022'!M30+'June 2022'!L30</f>
        <v>0</v>
      </c>
      <c r="N30" s="10">
        <f t="shared" si="1"/>
        <v>23.6</v>
      </c>
      <c r="O30" s="11">
        <f>'May 2022'!T30</f>
        <v>0.22</v>
      </c>
      <c r="P30" s="10">
        <v>0</v>
      </c>
      <c r="Q30" s="10">
        <f>'May 2022'!Q30+'June 2022'!P30</f>
        <v>0</v>
      </c>
      <c r="R30" s="10">
        <v>0</v>
      </c>
      <c r="S30" s="10">
        <f>'May 2022'!S30+'June 2022'!R30</f>
        <v>0</v>
      </c>
      <c r="T30" s="11">
        <f t="shared" si="2"/>
        <v>0.22</v>
      </c>
      <c r="U30" s="11">
        <f t="shared" si="3"/>
        <v>6230.2140000000027</v>
      </c>
      <c r="V30" s="12"/>
      <c r="W30" s="12"/>
    </row>
    <row r="31" spans="1:23" ht="42.75" customHeight="1">
      <c r="A31" s="8">
        <v>19</v>
      </c>
      <c r="B31" s="9" t="s">
        <v>38</v>
      </c>
      <c r="C31" s="10">
        <f>'May 2022'!H31</f>
        <v>3078.0079999999994</v>
      </c>
      <c r="D31" s="10">
        <v>3.39</v>
      </c>
      <c r="E31" s="10">
        <f>'May 2022'!E31+'June 2022'!D31</f>
        <v>10.715</v>
      </c>
      <c r="F31" s="10">
        <v>0</v>
      </c>
      <c r="G31" s="10">
        <f>'May 2022'!G31+'June 2022'!F31</f>
        <v>3.38</v>
      </c>
      <c r="H31" s="10">
        <f t="shared" si="0"/>
        <v>3081.3979999999992</v>
      </c>
      <c r="I31" s="10">
        <f>'May 2022'!N31</f>
        <v>3.1600000000000037</v>
      </c>
      <c r="J31" s="10">
        <v>47.02</v>
      </c>
      <c r="K31" s="10">
        <f>'May 2022'!K31+'June 2022'!J31</f>
        <v>47.02</v>
      </c>
      <c r="L31" s="10">
        <v>0</v>
      </c>
      <c r="M31" s="10">
        <f>'May 2022'!M31+'June 2022'!L31</f>
        <v>0</v>
      </c>
      <c r="N31" s="10">
        <f t="shared" si="1"/>
        <v>50.180000000000007</v>
      </c>
      <c r="O31" s="11">
        <f>'May 2022'!T31</f>
        <v>128.47999999999999</v>
      </c>
      <c r="P31" s="10">
        <v>0</v>
      </c>
      <c r="Q31" s="10">
        <f>'May 2022'!Q31+'June 2022'!P31</f>
        <v>0</v>
      </c>
      <c r="R31" s="10">
        <v>0</v>
      </c>
      <c r="S31" s="10">
        <f>'May 2022'!S31+'June 2022'!R31</f>
        <v>0</v>
      </c>
      <c r="T31" s="11">
        <f t="shared" si="2"/>
        <v>128.47999999999999</v>
      </c>
      <c r="U31" s="11">
        <f t="shared" si="3"/>
        <v>3260.0579999999991</v>
      </c>
      <c r="V31" s="12"/>
      <c r="W31" s="12"/>
    </row>
    <row r="32" spans="1:23" ht="42.75" customHeight="1">
      <c r="A32" s="8">
        <v>20</v>
      </c>
      <c r="B32" s="9" t="s">
        <v>39</v>
      </c>
      <c r="C32" s="10">
        <f>'May 2022'!H32</f>
        <v>4373.66</v>
      </c>
      <c r="D32" s="10">
        <v>4.29</v>
      </c>
      <c r="E32" s="10">
        <f>'May 2022'!E32+'June 2022'!D32</f>
        <v>9.27</v>
      </c>
      <c r="F32" s="10">
        <v>0</v>
      </c>
      <c r="G32" s="10">
        <f>'May 2022'!G32+'June 2022'!F32</f>
        <v>0</v>
      </c>
      <c r="H32" s="10">
        <f t="shared" si="0"/>
        <v>4377.95</v>
      </c>
      <c r="I32" s="10">
        <f>'May 2022'!N32</f>
        <v>136.27000000000001</v>
      </c>
      <c r="J32" s="10">
        <f>1.27+20.96</f>
        <v>22.23</v>
      </c>
      <c r="K32" s="10">
        <f>'May 2022'!K32+'June 2022'!J32</f>
        <v>24.66</v>
      </c>
      <c r="L32" s="10">
        <v>0</v>
      </c>
      <c r="M32" s="10">
        <f>'May 2022'!M32+'June 2022'!L32</f>
        <v>0</v>
      </c>
      <c r="N32" s="10">
        <f t="shared" si="1"/>
        <v>158.5</v>
      </c>
      <c r="O32" s="11">
        <f>'May 2022'!T32</f>
        <v>243.63999999999996</v>
      </c>
      <c r="P32" s="10">
        <v>0</v>
      </c>
      <c r="Q32" s="10">
        <f>'May 2022'!Q32+'June 2022'!P32</f>
        <v>0</v>
      </c>
      <c r="R32" s="10">
        <v>0</v>
      </c>
      <c r="S32" s="10">
        <f>'May 2022'!S32+'June 2022'!R32</f>
        <v>27.41</v>
      </c>
      <c r="T32" s="11">
        <f t="shared" si="2"/>
        <v>243.63999999999996</v>
      </c>
      <c r="U32" s="11">
        <f t="shared" si="3"/>
        <v>4780.09</v>
      </c>
      <c r="V32" s="12"/>
      <c r="W32" s="12"/>
    </row>
    <row r="33" spans="1:23" s="17" customFormat="1" ht="42.75" customHeight="1">
      <c r="A33" s="14"/>
      <c r="B33" s="15" t="s">
        <v>68</v>
      </c>
      <c r="C33" s="16">
        <f>SUM(C29:C32)</f>
        <v>18071.405000000006</v>
      </c>
      <c r="D33" s="16">
        <f t="shared" ref="D33:U33" si="10">SUM(D29:D32)</f>
        <v>27.52</v>
      </c>
      <c r="E33" s="16">
        <f t="shared" si="10"/>
        <v>82.60499999999999</v>
      </c>
      <c r="F33" s="16">
        <f t="shared" si="10"/>
        <v>0</v>
      </c>
      <c r="G33" s="16">
        <f t="shared" si="10"/>
        <v>3.38</v>
      </c>
      <c r="H33" s="16">
        <f t="shared" si="10"/>
        <v>18098.925000000003</v>
      </c>
      <c r="I33" s="16">
        <f t="shared" si="10"/>
        <v>211.12</v>
      </c>
      <c r="J33" s="16">
        <f t="shared" si="10"/>
        <v>130.51</v>
      </c>
      <c r="K33" s="16">
        <f t="shared" si="10"/>
        <v>132.94</v>
      </c>
      <c r="L33" s="16">
        <f t="shared" si="10"/>
        <v>0</v>
      </c>
      <c r="M33" s="16">
        <f t="shared" si="10"/>
        <v>0</v>
      </c>
      <c r="N33" s="16">
        <f t="shared" si="10"/>
        <v>341.63</v>
      </c>
      <c r="O33" s="16">
        <f t="shared" si="10"/>
        <v>510.41999999999996</v>
      </c>
      <c r="P33" s="16">
        <f t="shared" si="10"/>
        <v>0</v>
      </c>
      <c r="Q33" s="16">
        <f t="shared" si="10"/>
        <v>0</v>
      </c>
      <c r="R33" s="16">
        <f t="shared" si="10"/>
        <v>0</v>
      </c>
      <c r="S33" s="16">
        <f t="shared" si="10"/>
        <v>27.41</v>
      </c>
      <c r="T33" s="16">
        <f t="shared" si="10"/>
        <v>510.41999999999996</v>
      </c>
      <c r="U33" s="16">
        <f t="shared" si="10"/>
        <v>18950.975000000006</v>
      </c>
      <c r="V33" s="64"/>
      <c r="W33" s="64"/>
    </row>
    <row r="34" spans="1:23" ht="42.75" customHeight="1">
      <c r="A34" s="8">
        <v>21</v>
      </c>
      <c r="B34" s="9" t="s">
        <v>40</v>
      </c>
      <c r="C34" s="10">
        <f>'May 2022'!H34</f>
        <v>5881.2300000000014</v>
      </c>
      <c r="D34" s="10">
        <v>13.83</v>
      </c>
      <c r="E34" s="10">
        <f>'May 2022'!E34+'June 2022'!D34</f>
        <v>28.95</v>
      </c>
      <c r="F34" s="10">
        <v>0</v>
      </c>
      <c r="G34" s="10">
        <f>'May 2022'!G34+'June 2022'!F34</f>
        <v>0</v>
      </c>
      <c r="H34" s="10">
        <f t="shared" si="0"/>
        <v>5895.0600000000013</v>
      </c>
      <c r="I34" s="10">
        <f>'May 2022'!N34</f>
        <v>0.55000000000000004</v>
      </c>
      <c r="J34" s="10">
        <v>1.45</v>
      </c>
      <c r="K34" s="10">
        <f>'May 2022'!K34+'June 2022'!J34</f>
        <v>2</v>
      </c>
      <c r="L34" s="10">
        <v>0</v>
      </c>
      <c r="M34" s="10">
        <f>'May 2022'!M34+'June 2022'!L34</f>
        <v>0</v>
      </c>
      <c r="N34" s="10">
        <f t="shared" si="1"/>
        <v>2</v>
      </c>
      <c r="O34" s="11">
        <f>'May 2022'!T34</f>
        <v>0</v>
      </c>
      <c r="P34" s="10">
        <v>38.700000000000003</v>
      </c>
      <c r="Q34" s="10">
        <f>'May 2022'!Q34+'June 2022'!P34</f>
        <v>38.700000000000003</v>
      </c>
      <c r="R34" s="10">
        <v>0</v>
      </c>
      <c r="S34" s="10">
        <f>'May 2022'!S34+'June 2022'!R34</f>
        <v>0</v>
      </c>
      <c r="T34" s="11">
        <f t="shared" si="2"/>
        <v>38.700000000000003</v>
      </c>
      <c r="U34" s="11">
        <f t="shared" si="3"/>
        <v>5935.7600000000011</v>
      </c>
      <c r="V34" s="18"/>
      <c r="W34" s="18"/>
    </row>
    <row r="35" spans="1:23" ht="42.75" customHeight="1">
      <c r="A35" s="8">
        <v>22</v>
      </c>
      <c r="B35" s="9" t="s">
        <v>41</v>
      </c>
      <c r="C35" s="10">
        <f>'May 2022'!H35</f>
        <v>4654.1650000000009</v>
      </c>
      <c r="D35" s="10">
        <v>9</v>
      </c>
      <c r="E35" s="10">
        <f>'May 2022'!E35+'June 2022'!D35</f>
        <v>38.26</v>
      </c>
      <c r="F35" s="10">
        <v>0</v>
      </c>
      <c r="G35" s="10">
        <f>'May 2022'!G35+'June 2022'!F35</f>
        <v>0</v>
      </c>
      <c r="H35" s="10">
        <f t="shared" si="0"/>
        <v>4663.1650000000009</v>
      </c>
      <c r="I35" s="10">
        <f>'May 2022'!N35</f>
        <v>0.1</v>
      </c>
      <c r="J35" s="10">
        <v>0</v>
      </c>
      <c r="K35" s="10">
        <f>'May 2022'!K35+'June 2022'!J35</f>
        <v>0</v>
      </c>
      <c r="L35" s="10">
        <v>0</v>
      </c>
      <c r="M35" s="10">
        <f>'May 2022'!M35+'June 2022'!L35</f>
        <v>0</v>
      </c>
      <c r="N35" s="10">
        <f t="shared" si="1"/>
        <v>0.1</v>
      </c>
      <c r="O35" s="11">
        <f>'May 2022'!T35</f>
        <v>16.43</v>
      </c>
      <c r="P35" s="10">
        <v>0</v>
      </c>
      <c r="Q35" s="10">
        <f>'May 2022'!Q35+'June 2022'!P35</f>
        <v>0</v>
      </c>
      <c r="R35" s="10">
        <v>0</v>
      </c>
      <c r="S35" s="10">
        <f>'May 2022'!S35+'June 2022'!R35</f>
        <v>0</v>
      </c>
      <c r="T35" s="11">
        <f t="shared" si="2"/>
        <v>16.43</v>
      </c>
      <c r="U35" s="11">
        <f t="shared" si="3"/>
        <v>4679.6950000000015</v>
      </c>
      <c r="V35" s="18"/>
      <c r="W35" s="18"/>
    </row>
    <row r="36" spans="1:23" ht="42.75" customHeight="1">
      <c r="A36" s="8">
        <v>23</v>
      </c>
      <c r="B36" s="9" t="s">
        <v>42</v>
      </c>
      <c r="C36" s="10">
        <f>'May 2022'!H36</f>
        <v>19367.97</v>
      </c>
      <c r="D36" s="10">
        <v>0.15</v>
      </c>
      <c r="E36" s="10">
        <f>'May 2022'!E36+'June 2022'!D36</f>
        <v>1.25</v>
      </c>
      <c r="F36" s="10">
        <v>0</v>
      </c>
      <c r="G36" s="10">
        <f>'May 2022'!G36+'June 2022'!F36</f>
        <v>0</v>
      </c>
      <c r="H36" s="10">
        <f t="shared" si="0"/>
        <v>19368.120000000003</v>
      </c>
      <c r="I36" s="10">
        <f>'May 2022'!N36</f>
        <v>8.5</v>
      </c>
      <c r="J36" s="10">
        <v>0</v>
      </c>
      <c r="K36" s="10">
        <f>'May 2022'!K36+'June 2022'!J36</f>
        <v>0</v>
      </c>
      <c r="L36" s="10">
        <v>0</v>
      </c>
      <c r="M36" s="10">
        <f>'May 2022'!M36+'June 2022'!L36</f>
        <v>0</v>
      </c>
      <c r="N36" s="10">
        <f t="shared" si="1"/>
        <v>8.5</v>
      </c>
      <c r="O36" s="11">
        <f>'May 2022'!T36</f>
        <v>0</v>
      </c>
      <c r="P36" s="10">
        <v>0</v>
      </c>
      <c r="Q36" s="10">
        <f>'May 2022'!Q36+'June 2022'!P36</f>
        <v>0</v>
      </c>
      <c r="R36" s="10">
        <v>0</v>
      </c>
      <c r="S36" s="10">
        <f>'May 2022'!S36+'June 2022'!R36</f>
        <v>0</v>
      </c>
      <c r="T36" s="11">
        <f t="shared" si="2"/>
        <v>0</v>
      </c>
      <c r="U36" s="11">
        <f t="shared" si="3"/>
        <v>19376.620000000003</v>
      </c>
      <c r="V36" s="18"/>
      <c r="W36" s="18"/>
    </row>
    <row r="37" spans="1:23" ht="42.75" customHeight="1">
      <c r="A37" s="8">
        <v>24</v>
      </c>
      <c r="B37" s="9" t="s">
        <v>43</v>
      </c>
      <c r="C37" s="10">
        <f>'May 2022'!H37</f>
        <v>7009.3899999999985</v>
      </c>
      <c r="D37" s="10">
        <v>2.0099999999999998</v>
      </c>
      <c r="E37" s="10">
        <f>'May 2022'!E37+'June 2022'!D37</f>
        <v>3.8</v>
      </c>
      <c r="F37" s="10">
        <v>0</v>
      </c>
      <c r="G37" s="10">
        <f>'May 2022'!G37+'June 2022'!F37</f>
        <v>0</v>
      </c>
      <c r="H37" s="10">
        <f t="shared" si="0"/>
        <v>7011.3999999999987</v>
      </c>
      <c r="I37" s="10">
        <f>'May 2022'!N37</f>
        <v>0</v>
      </c>
      <c r="J37" s="10">
        <v>0</v>
      </c>
      <c r="K37" s="10">
        <f>'May 2022'!K37+'June 2022'!J37</f>
        <v>0</v>
      </c>
      <c r="L37" s="10">
        <v>0</v>
      </c>
      <c r="M37" s="10">
        <f>'May 2022'!M37+'June 2022'!L37</f>
        <v>0</v>
      </c>
      <c r="N37" s="10">
        <f t="shared" si="1"/>
        <v>0</v>
      </c>
      <c r="O37" s="11">
        <f>'May 2022'!T37</f>
        <v>3.1</v>
      </c>
      <c r="P37" s="10">
        <v>0</v>
      </c>
      <c r="Q37" s="10">
        <f>'May 2022'!Q37+'June 2022'!P37</f>
        <v>0</v>
      </c>
      <c r="R37" s="10">
        <v>0</v>
      </c>
      <c r="S37" s="10">
        <f>'May 2022'!S37+'June 2022'!R37</f>
        <v>0</v>
      </c>
      <c r="T37" s="11">
        <f t="shared" si="2"/>
        <v>3.1</v>
      </c>
      <c r="U37" s="11">
        <f t="shared" si="3"/>
        <v>7014.4999999999991</v>
      </c>
      <c r="V37" s="18"/>
      <c r="W37" s="18"/>
    </row>
    <row r="38" spans="1:23" s="17" customFormat="1" ht="42.75" customHeight="1">
      <c r="A38" s="14"/>
      <c r="B38" s="15" t="s">
        <v>44</v>
      </c>
      <c r="C38" s="16">
        <f>SUM(C34:C37)</f>
        <v>36912.755000000005</v>
      </c>
      <c r="D38" s="16">
        <f t="shared" ref="D38:U38" si="11">SUM(D34:D37)</f>
        <v>24.989999999999995</v>
      </c>
      <c r="E38" s="16">
        <f t="shared" si="11"/>
        <v>72.259999999999991</v>
      </c>
      <c r="F38" s="16">
        <f t="shared" si="11"/>
        <v>0</v>
      </c>
      <c r="G38" s="16">
        <f t="shared" si="11"/>
        <v>0</v>
      </c>
      <c r="H38" s="16">
        <f t="shared" si="11"/>
        <v>36937.745000000003</v>
      </c>
      <c r="I38" s="16">
        <f t="shared" si="11"/>
        <v>9.15</v>
      </c>
      <c r="J38" s="16">
        <f t="shared" si="11"/>
        <v>1.45</v>
      </c>
      <c r="K38" s="16">
        <f t="shared" si="11"/>
        <v>2</v>
      </c>
      <c r="L38" s="16">
        <f t="shared" si="11"/>
        <v>0</v>
      </c>
      <c r="M38" s="16">
        <f t="shared" si="11"/>
        <v>0</v>
      </c>
      <c r="N38" s="16">
        <f t="shared" si="11"/>
        <v>10.6</v>
      </c>
      <c r="O38" s="16">
        <f t="shared" si="11"/>
        <v>19.53</v>
      </c>
      <c r="P38" s="16">
        <f t="shared" si="11"/>
        <v>38.700000000000003</v>
      </c>
      <c r="Q38" s="16">
        <f t="shared" si="11"/>
        <v>38.700000000000003</v>
      </c>
      <c r="R38" s="16">
        <f t="shared" si="11"/>
        <v>0</v>
      </c>
      <c r="S38" s="16">
        <f t="shared" si="11"/>
        <v>0</v>
      </c>
      <c r="T38" s="16">
        <f t="shared" si="11"/>
        <v>58.230000000000004</v>
      </c>
      <c r="U38" s="16">
        <f t="shared" si="11"/>
        <v>37006.575000000004</v>
      </c>
      <c r="V38" s="64"/>
      <c r="W38" s="64"/>
    </row>
    <row r="39" spans="1:23" s="17" customFormat="1" ht="42.75" customHeight="1">
      <c r="A39" s="14"/>
      <c r="B39" s="15" t="s">
        <v>45</v>
      </c>
      <c r="C39" s="16">
        <f>C38+C33+C28</f>
        <v>66498.358999999997</v>
      </c>
      <c r="D39" s="16">
        <f t="shared" ref="D39:U39" si="12">D38+D33+D28</f>
        <v>63.919999999999987</v>
      </c>
      <c r="E39" s="16">
        <f t="shared" si="12"/>
        <v>198.64499999999998</v>
      </c>
      <c r="F39" s="16">
        <f t="shared" si="12"/>
        <v>0</v>
      </c>
      <c r="G39" s="16">
        <f t="shared" si="12"/>
        <v>3.38</v>
      </c>
      <c r="H39" s="16">
        <f t="shared" si="12"/>
        <v>66562.278999999995</v>
      </c>
      <c r="I39" s="16">
        <f t="shared" si="12"/>
        <v>610.56499999999994</v>
      </c>
      <c r="J39" s="16">
        <f t="shared" si="12"/>
        <v>132.62999999999997</v>
      </c>
      <c r="K39" s="16">
        <f t="shared" si="12"/>
        <v>140.87</v>
      </c>
      <c r="L39" s="16">
        <f t="shared" si="12"/>
        <v>0</v>
      </c>
      <c r="M39" s="16">
        <f t="shared" si="12"/>
        <v>0</v>
      </c>
      <c r="N39" s="16">
        <f t="shared" si="12"/>
        <v>743.19499999999994</v>
      </c>
      <c r="O39" s="16">
        <f t="shared" si="12"/>
        <v>716.87999999999988</v>
      </c>
      <c r="P39" s="16">
        <f t="shared" si="12"/>
        <v>47.72</v>
      </c>
      <c r="Q39" s="16">
        <f t="shared" si="12"/>
        <v>75.13</v>
      </c>
      <c r="R39" s="16">
        <f t="shared" si="12"/>
        <v>0</v>
      </c>
      <c r="S39" s="16">
        <f t="shared" si="12"/>
        <v>72.8</v>
      </c>
      <c r="T39" s="16">
        <f t="shared" si="12"/>
        <v>764.6</v>
      </c>
      <c r="U39" s="16">
        <f t="shared" si="12"/>
        <v>68070.073999999993</v>
      </c>
      <c r="V39" s="64"/>
      <c r="W39" s="64"/>
    </row>
    <row r="40" spans="1:23" ht="42.75" customHeight="1">
      <c r="A40" s="8">
        <v>25</v>
      </c>
      <c r="B40" s="9" t="s">
        <v>46</v>
      </c>
      <c r="C40" s="10">
        <f>'May 2022'!H40</f>
        <v>13818.438000000002</v>
      </c>
      <c r="D40" s="10">
        <v>10.94</v>
      </c>
      <c r="E40" s="10">
        <f>'May 2022'!E40+'June 2022'!D40</f>
        <v>44.29</v>
      </c>
      <c r="F40" s="10">
        <v>0</v>
      </c>
      <c r="G40" s="10">
        <f>'May 2022'!G40+'June 2022'!F40</f>
        <v>0</v>
      </c>
      <c r="H40" s="10">
        <f t="shared" si="0"/>
        <v>13829.378000000002</v>
      </c>
      <c r="I40" s="10">
        <f>'May 2022'!N40</f>
        <v>0</v>
      </c>
      <c r="J40" s="10">
        <v>0</v>
      </c>
      <c r="K40" s="10">
        <f>'May 2022'!K40+'June 2022'!J40</f>
        <v>0</v>
      </c>
      <c r="L40" s="10">
        <v>0</v>
      </c>
      <c r="M40" s="10">
        <f>'May 2022'!M40+'June 2022'!L40</f>
        <v>0</v>
      </c>
      <c r="N40" s="10">
        <f t="shared" si="1"/>
        <v>0</v>
      </c>
      <c r="O40" s="11">
        <f>'May 2022'!T40</f>
        <v>0</v>
      </c>
      <c r="P40" s="10">
        <v>0</v>
      </c>
      <c r="Q40" s="10">
        <f>'May 2022'!Q40+'June 2022'!P40</f>
        <v>0</v>
      </c>
      <c r="R40" s="10">
        <v>0</v>
      </c>
      <c r="S40" s="10">
        <f>'May 2022'!S40+'June 2022'!R40</f>
        <v>0</v>
      </c>
      <c r="T40" s="11">
        <f t="shared" si="2"/>
        <v>0</v>
      </c>
      <c r="U40" s="11">
        <f t="shared" si="3"/>
        <v>13829.378000000002</v>
      </c>
      <c r="V40" s="12"/>
      <c r="W40" s="12"/>
    </row>
    <row r="41" spans="1:23" ht="42.75" customHeight="1">
      <c r="A41" s="8">
        <v>26</v>
      </c>
      <c r="B41" s="9" t="s">
        <v>47</v>
      </c>
      <c r="C41" s="10">
        <f>'May 2022'!H41</f>
        <v>10278.575999999992</v>
      </c>
      <c r="D41" s="10">
        <v>35.770000000000003</v>
      </c>
      <c r="E41" s="10">
        <f>'May 2022'!E41+'June 2022'!D41</f>
        <v>204.63000000000002</v>
      </c>
      <c r="F41" s="10">
        <v>0</v>
      </c>
      <c r="G41" s="10">
        <f>'May 2022'!G41+'June 2022'!F41</f>
        <v>0</v>
      </c>
      <c r="H41" s="10">
        <f t="shared" si="0"/>
        <v>10314.345999999992</v>
      </c>
      <c r="I41" s="10">
        <f>'May 2022'!N41</f>
        <v>0</v>
      </c>
      <c r="J41" s="10">
        <v>0</v>
      </c>
      <c r="K41" s="10">
        <f>'May 2022'!K41+'June 2022'!J41</f>
        <v>0</v>
      </c>
      <c r="L41" s="10">
        <v>0</v>
      </c>
      <c r="M41" s="10">
        <f>'May 2022'!M41+'June 2022'!L41</f>
        <v>0</v>
      </c>
      <c r="N41" s="10">
        <f t="shared" si="1"/>
        <v>0</v>
      </c>
      <c r="O41" s="11">
        <f>'May 2022'!T41</f>
        <v>0</v>
      </c>
      <c r="P41" s="10">
        <v>0</v>
      </c>
      <c r="Q41" s="10">
        <f>'May 2022'!Q41+'June 2022'!P41</f>
        <v>0</v>
      </c>
      <c r="R41" s="10">
        <v>0</v>
      </c>
      <c r="S41" s="10">
        <f>'May 2022'!S41+'June 2022'!R41</f>
        <v>0</v>
      </c>
      <c r="T41" s="11">
        <f t="shared" si="2"/>
        <v>0</v>
      </c>
      <c r="U41" s="11">
        <f t="shared" si="3"/>
        <v>10314.345999999992</v>
      </c>
      <c r="V41" s="12"/>
      <c r="W41" s="12"/>
    </row>
    <row r="42" spans="1:23" ht="42.75" customHeight="1">
      <c r="A42" s="8">
        <v>27</v>
      </c>
      <c r="B42" s="9" t="s">
        <v>48</v>
      </c>
      <c r="C42" s="10">
        <f>'May 2022'!H42</f>
        <v>23896.243999999999</v>
      </c>
      <c r="D42" s="10">
        <v>2.95</v>
      </c>
      <c r="E42" s="10">
        <f>'May 2022'!E42+'June 2022'!D42</f>
        <v>25.279999999999998</v>
      </c>
      <c r="F42" s="10">
        <v>0</v>
      </c>
      <c r="G42" s="10">
        <f>'May 2022'!G42+'June 2022'!F42</f>
        <v>0</v>
      </c>
      <c r="H42" s="10">
        <f t="shared" si="0"/>
        <v>23899.194</v>
      </c>
      <c r="I42" s="10">
        <f>'May 2022'!N42</f>
        <v>0</v>
      </c>
      <c r="J42" s="10">
        <v>0</v>
      </c>
      <c r="K42" s="10">
        <f>'May 2022'!K42+'June 2022'!J42</f>
        <v>0</v>
      </c>
      <c r="L42" s="10">
        <v>0</v>
      </c>
      <c r="M42" s="10">
        <f>'May 2022'!M42+'June 2022'!L42</f>
        <v>0</v>
      </c>
      <c r="N42" s="10">
        <f t="shared" si="1"/>
        <v>0</v>
      </c>
      <c r="O42" s="11">
        <f>'May 2022'!T42</f>
        <v>0</v>
      </c>
      <c r="P42" s="10">
        <v>0</v>
      </c>
      <c r="Q42" s="10">
        <f>'May 2022'!Q42+'June 2022'!P42</f>
        <v>0</v>
      </c>
      <c r="R42" s="10">
        <v>0</v>
      </c>
      <c r="S42" s="10">
        <f>'May 2022'!S42+'June 2022'!R42</f>
        <v>0</v>
      </c>
      <c r="T42" s="11">
        <f t="shared" si="2"/>
        <v>0</v>
      </c>
      <c r="U42" s="11">
        <f t="shared" si="3"/>
        <v>23899.194</v>
      </c>
      <c r="V42" s="12"/>
      <c r="W42" s="12"/>
    </row>
    <row r="43" spans="1:23" ht="42.75" customHeight="1">
      <c r="A43" s="8">
        <v>28</v>
      </c>
      <c r="B43" s="9" t="s">
        <v>49</v>
      </c>
      <c r="C43" s="10">
        <f>'May 2022'!H43</f>
        <v>2302.7230000000004</v>
      </c>
      <c r="D43" s="10">
        <v>9.6</v>
      </c>
      <c r="E43" s="10">
        <f>'May 2022'!E43+'June 2022'!D43</f>
        <v>25.86</v>
      </c>
      <c r="F43" s="10">
        <v>0</v>
      </c>
      <c r="G43" s="10">
        <f>'May 2022'!G43+'June 2022'!F43</f>
        <v>0</v>
      </c>
      <c r="H43" s="10">
        <f t="shared" si="0"/>
        <v>2312.3230000000003</v>
      </c>
      <c r="I43" s="10">
        <f>'May 2022'!N43</f>
        <v>0</v>
      </c>
      <c r="J43" s="10">
        <v>0</v>
      </c>
      <c r="K43" s="10">
        <f>'May 2022'!K43+'June 2022'!J43</f>
        <v>0</v>
      </c>
      <c r="L43" s="10">
        <v>0</v>
      </c>
      <c r="M43" s="10">
        <f>'May 2022'!M43+'June 2022'!L43</f>
        <v>0</v>
      </c>
      <c r="N43" s="10">
        <f t="shared" si="1"/>
        <v>0</v>
      </c>
      <c r="O43" s="11">
        <f>'May 2022'!T43</f>
        <v>0</v>
      </c>
      <c r="P43" s="10">
        <v>0</v>
      </c>
      <c r="Q43" s="10">
        <f>'May 2022'!Q43+'June 2022'!P43</f>
        <v>0</v>
      </c>
      <c r="R43" s="10">
        <v>0</v>
      </c>
      <c r="S43" s="10">
        <f>'May 2022'!S43+'June 2022'!R43</f>
        <v>0</v>
      </c>
      <c r="T43" s="11">
        <f t="shared" si="2"/>
        <v>0</v>
      </c>
      <c r="U43" s="11">
        <f t="shared" si="3"/>
        <v>2312.3230000000003</v>
      </c>
      <c r="V43" s="12"/>
      <c r="W43" s="12"/>
    </row>
    <row r="44" spans="1:23" s="17" customFormat="1" ht="42.75" customHeight="1">
      <c r="A44" s="14"/>
      <c r="B44" s="15" t="s">
        <v>50</v>
      </c>
      <c r="C44" s="16">
        <f>SUM(C40:C43)</f>
        <v>50295.980999999992</v>
      </c>
      <c r="D44" s="16">
        <f t="shared" ref="D44:U44" si="13">SUM(D40:D43)</f>
        <v>59.260000000000005</v>
      </c>
      <c r="E44" s="16">
        <f t="shared" si="13"/>
        <v>300.06</v>
      </c>
      <c r="F44" s="16">
        <f t="shared" si="13"/>
        <v>0</v>
      </c>
      <c r="G44" s="16">
        <f t="shared" si="13"/>
        <v>0</v>
      </c>
      <c r="H44" s="16">
        <f t="shared" si="13"/>
        <v>50355.240999999995</v>
      </c>
      <c r="I44" s="16">
        <f t="shared" si="13"/>
        <v>0</v>
      </c>
      <c r="J44" s="16">
        <f t="shared" si="13"/>
        <v>0</v>
      </c>
      <c r="K44" s="16">
        <f t="shared" si="13"/>
        <v>0</v>
      </c>
      <c r="L44" s="16">
        <f t="shared" si="13"/>
        <v>0</v>
      </c>
      <c r="M44" s="16">
        <f t="shared" si="13"/>
        <v>0</v>
      </c>
      <c r="N44" s="16">
        <f t="shared" si="13"/>
        <v>0</v>
      </c>
      <c r="O44" s="16">
        <f t="shared" si="13"/>
        <v>0</v>
      </c>
      <c r="P44" s="16">
        <f t="shared" si="13"/>
        <v>0</v>
      </c>
      <c r="Q44" s="16">
        <f t="shared" si="13"/>
        <v>0</v>
      </c>
      <c r="R44" s="16">
        <f t="shared" si="13"/>
        <v>0</v>
      </c>
      <c r="S44" s="16">
        <f t="shared" si="13"/>
        <v>0</v>
      </c>
      <c r="T44" s="16">
        <f t="shared" si="13"/>
        <v>0</v>
      </c>
      <c r="U44" s="16">
        <f t="shared" si="13"/>
        <v>50355.240999999995</v>
      </c>
      <c r="V44" s="64"/>
      <c r="W44" s="64"/>
    </row>
    <row r="45" spans="1:23" ht="42.75" customHeight="1">
      <c r="A45" s="8">
        <v>29</v>
      </c>
      <c r="B45" s="9" t="s">
        <v>51</v>
      </c>
      <c r="C45" s="10">
        <f>'May 2022'!H45-155.17</f>
        <v>14012.609999999999</v>
      </c>
      <c r="D45" s="10">
        <f>5.37+61.01</f>
        <v>66.38</v>
      </c>
      <c r="E45" s="10">
        <f>'May 2022'!E45+'June 2022'!D45</f>
        <v>124.94</v>
      </c>
      <c r="F45" s="10">
        <v>0</v>
      </c>
      <c r="G45" s="10">
        <f>'May 2022'!G45+'June 2022'!F45</f>
        <v>0</v>
      </c>
      <c r="H45" s="10">
        <f t="shared" si="0"/>
        <v>14078.989999999998</v>
      </c>
      <c r="I45" s="10">
        <f>'May 2022'!N45</f>
        <v>6.6300000000000008</v>
      </c>
      <c r="J45" s="10">
        <v>0.01</v>
      </c>
      <c r="K45" s="10">
        <f>'May 2022'!K45+'June 2022'!J45</f>
        <v>0.01</v>
      </c>
      <c r="L45" s="10">
        <v>0</v>
      </c>
      <c r="M45" s="10">
        <f>'May 2022'!M45+'June 2022'!L45</f>
        <v>0</v>
      </c>
      <c r="N45" s="10">
        <f t="shared" si="1"/>
        <v>6.6400000000000006</v>
      </c>
      <c r="O45" s="11">
        <f>'May 2022'!T45</f>
        <v>89.820000000000007</v>
      </c>
      <c r="P45" s="10">
        <v>1.23</v>
      </c>
      <c r="Q45" s="10">
        <f>'May 2022'!Q45+'June 2022'!P45</f>
        <v>60.879999999999995</v>
      </c>
      <c r="R45" s="10">
        <v>0</v>
      </c>
      <c r="S45" s="10">
        <f>'May 2022'!S45+'June 2022'!R45</f>
        <v>0</v>
      </c>
      <c r="T45" s="11">
        <f t="shared" si="2"/>
        <v>91.050000000000011</v>
      </c>
      <c r="U45" s="11">
        <f t="shared" si="3"/>
        <v>14176.679999999997</v>
      </c>
      <c r="V45" s="115"/>
      <c r="W45" s="12"/>
    </row>
    <row r="46" spans="1:23" ht="42.75" customHeight="1">
      <c r="A46" s="8">
        <v>30</v>
      </c>
      <c r="B46" s="9" t="s">
        <v>52</v>
      </c>
      <c r="C46" s="10">
        <f>'May 2022'!H46</f>
        <v>7285.3499999999995</v>
      </c>
      <c r="D46" s="10">
        <v>7.32</v>
      </c>
      <c r="E46" s="10">
        <f>'May 2022'!E46+'June 2022'!D46</f>
        <v>27.310000000000002</v>
      </c>
      <c r="F46" s="10">
        <v>0</v>
      </c>
      <c r="G46" s="10">
        <f>'May 2022'!G46+'June 2022'!F46</f>
        <v>0</v>
      </c>
      <c r="H46" s="10">
        <f t="shared" si="0"/>
        <v>7292.6699999999992</v>
      </c>
      <c r="I46" s="10">
        <f>'May 2022'!N46</f>
        <v>0</v>
      </c>
      <c r="J46" s="10">
        <v>0</v>
      </c>
      <c r="K46" s="10">
        <f>'May 2022'!K46+'June 2022'!J46</f>
        <v>0</v>
      </c>
      <c r="L46" s="10">
        <v>0</v>
      </c>
      <c r="M46" s="10">
        <f>'May 2022'!M46+'June 2022'!L46</f>
        <v>0</v>
      </c>
      <c r="N46" s="10">
        <f t="shared" si="1"/>
        <v>0</v>
      </c>
      <c r="O46" s="11">
        <f>'May 2022'!T46</f>
        <v>7.5900000000000007</v>
      </c>
      <c r="P46" s="10">
        <v>0</v>
      </c>
      <c r="Q46" s="10">
        <f>'May 2022'!Q46+'June 2022'!P46</f>
        <v>0</v>
      </c>
      <c r="R46" s="10">
        <v>0</v>
      </c>
      <c r="S46" s="10">
        <f>'May 2022'!S46+'June 2022'!R46</f>
        <v>0.31</v>
      </c>
      <c r="T46" s="11">
        <f t="shared" si="2"/>
        <v>7.5900000000000007</v>
      </c>
      <c r="U46" s="11">
        <f t="shared" si="3"/>
        <v>7300.2599999999993</v>
      </c>
      <c r="V46" s="115"/>
      <c r="W46" s="12"/>
    </row>
    <row r="47" spans="1:23" ht="42.75" customHeight="1">
      <c r="A47" s="8">
        <v>31</v>
      </c>
      <c r="B47" s="9" t="s">
        <v>53</v>
      </c>
      <c r="C47" s="10">
        <f>'May 2022'!H47</f>
        <v>12301.610000000002</v>
      </c>
      <c r="D47" s="10">
        <v>1.1599999999999999</v>
      </c>
      <c r="E47" s="10">
        <f>'May 2022'!E47+'June 2022'!D47</f>
        <v>9.51</v>
      </c>
      <c r="F47" s="10">
        <v>0</v>
      </c>
      <c r="G47" s="10">
        <f>'May 2022'!G47+'June 2022'!F47</f>
        <v>0</v>
      </c>
      <c r="H47" s="10">
        <f t="shared" si="0"/>
        <v>12302.770000000002</v>
      </c>
      <c r="I47" s="10">
        <f>'May 2022'!N47</f>
        <v>1.2999999999999998</v>
      </c>
      <c r="J47" s="10">
        <v>0</v>
      </c>
      <c r="K47" s="10">
        <f>'May 2022'!K47+'June 2022'!J47</f>
        <v>0</v>
      </c>
      <c r="L47" s="10">
        <v>0</v>
      </c>
      <c r="M47" s="10">
        <f>'May 2022'!M47+'June 2022'!L47</f>
        <v>0</v>
      </c>
      <c r="N47" s="10">
        <f t="shared" si="1"/>
        <v>1.2999999999999998</v>
      </c>
      <c r="O47" s="11">
        <f>'May 2022'!T47</f>
        <v>86.18</v>
      </c>
      <c r="P47" s="10">
        <v>0</v>
      </c>
      <c r="Q47" s="10">
        <f>'May 2022'!Q47+'June 2022'!P47</f>
        <v>0</v>
      </c>
      <c r="R47" s="10">
        <v>0</v>
      </c>
      <c r="S47" s="10">
        <f>'May 2022'!S47+'June 2022'!R47</f>
        <v>0.1</v>
      </c>
      <c r="T47" s="11">
        <f t="shared" si="2"/>
        <v>86.18</v>
      </c>
      <c r="U47" s="11">
        <f t="shared" si="3"/>
        <v>12390.250000000002</v>
      </c>
      <c r="V47" s="115"/>
      <c r="W47" s="12"/>
    </row>
    <row r="48" spans="1:23" ht="42.75" customHeight="1">
      <c r="A48" s="8">
        <v>32</v>
      </c>
      <c r="B48" s="9" t="s">
        <v>54</v>
      </c>
      <c r="C48" s="10">
        <f>'May 2022'!H48</f>
        <v>11091.342000000008</v>
      </c>
      <c r="D48" s="10">
        <v>8.49</v>
      </c>
      <c r="E48" s="10">
        <f>'May 2022'!E48+'June 2022'!D48</f>
        <v>9.64</v>
      </c>
      <c r="F48" s="10">
        <v>0</v>
      </c>
      <c r="G48" s="10">
        <f>'May 2022'!G48+'June 2022'!F48</f>
        <v>0</v>
      </c>
      <c r="H48" s="10">
        <f t="shared" si="0"/>
        <v>11099.832000000008</v>
      </c>
      <c r="I48" s="10">
        <f>'May 2022'!N48</f>
        <v>0</v>
      </c>
      <c r="J48" s="10">
        <v>0</v>
      </c>
      <c r="K48" s="10">
        <f>'May 2022'!K48+'June 2022'!J48</f>
        <v>0</v>
      </c>
      <c r="L48" s="10">
        <v>0</v>
      </c>
      <c r="M48" s="10">
        <f>'May 2022'!M48+'June 2022'!L48</f>
        <v>0</v>
      </c>
      <c r="N48" s="10">
        <f t="shared" si="1"/>
        <v>0</v>
      </c>
      <c r="O48" s="11">
        <f>'May 2022'!T48</f>
        <v>30.53</v>
      </c>
      <c r="P48" s="10">
        <v>0</v>
      </c>
      <c r="Q48" s="10">
        <f>'May 2022'!Q48+'June 2022'!P48</f>
        <v>0.53</v>
      </c>
      <c r="R48" s="10">
        <v>0</v>
      </c>
      <c r="S48" s="10">
        <f>'May 2022'!S48+'June 2022'!R48</f>
        <v>0</v>
      </c>
      <c r="T48" s="11">
        <f t="shared" si="2"/>
        <v>30.53</v>
      </c>
      <c r="U48" s="11">
        <f t="shared" si="3"/>
        <v>11130.362000000008</v>
      </c>
      <c r="V48" s="115"/>
      <c r="W48" s="12"/>
    </row>
    <row r="49" spans="1:23" s="17" customFormat="1" ht="42.75" customHeight="1">
      <c r="A49" s="14"/>
      <c r="B49" s="15" t="s">
        <v>55</v>
      </c>
      <c r="C49" s="16">
        <f>SUM(C45:C48)</f>
        <v>44690.912000000011</v>
      </c>
      <c r="D49" s="16">
        <f t="shared" ref="D49:U49" si="14">SUM(D45:D48)</f>
        <v>83.34999999999998</v>
      </c>
      <c r="E49" s="16">
        <f t="shared" si="14"/>
        <v>171.39999999999998</v>
      </c>
      <c r="F49" s="16">
        <f t="shared" si="14"/>
        <v>0</v>
      </c>
      <c r="G49" s="16">
        <f t="shared" si="14"/>
        <v>0</v>
      </c>
      <c r="H49" s="16">
        <f t="shared" si="14"/>
        <v>44774.26200000001</v>
      </c>
      <c r="I49" s="16">
        <f t="shared" si="14"/>
        <v>7.9300000000000006</v>
      </c>
      <c r="J49" s="16">
        <f t="shared" si="14"/>
        <v>0.01</v>
      </c>
      <c r="K49" s="16">
        <f t="shared" si="14"/>
        <v>0.01</v>
      </c>
      <c r="L49" s="16">
        <f t="shared" si="14"/>
        <v>0</v>
      </c>
      <c r="M49" s="16">
        <f t="shared" si="14"/>
        <v>0</v>
      </c>
      <c r="N49" s="16">
        <f t="shared" si="14"/>
        <v>7.94</v>
      </c>
      <c r="O49" s="16">
        <f t="shared" si="14"/>
        <v>214.12000000000003</v>
      </c>
      <c r="P49" s="16">
        <f t="shared" si="14"/>
        <v>1.23</v>
      </c>
      <c r="Q49" s="16">
        <f t="shared" si="14"/>
        <v>61.41</v>
      </c>
      <c r="R49" s="16">
        <f t="shared" si="14"/>
        <v>0</v>
      </c>
      <c r="S49" s="16">
        <f t="shared" si="14"/>
        <v>0.41000000000000003</v>
      </c>
      <c r="T49" s="16">
        <f t="shared" si="14"/>
        <v>215.35000000000002</v>
      </c>
      <c r="U49" s="16">
        <f t="shared" si="14"/>
        <v>44997.552000000003</v>
      </c>
      <c r="V49" s="64"/>
      <c r="W49" s="64"/>
    </row>
    <row r="50" spans="1:23" s="17" customFormat="1" ht="42.75" customHeight="1">
      <c r="A50" s="14"/>
      <c r="B50" s="15" t="s">
        <v>56</v>
      </c>
      <c r="C50" s="16">
        <f>C49+C44</f>
        <v>94986.893000000011</v>
      </c>
      <c r="D50" s="16">
        <f t="shared" ref="D50:U50" si="15">D49+D44</f>
        <v>142.60999999999999</v>
      </c>
      <c r="E50" s="16">
        <f t="shared" si="15"/>
        <v>471.46</v>
      </c>
      <c r="F50" s="16">
        <f t="shared" si="15"/>
        <v>0</v>
      </c>
      <c r="G50" s="16">
        <f t="shared" si="15"/>
        <v>0</v>
      </c>
      <c r="H50" s="16">
        <f t="shared" si="15"/>
        <v>95129.502999999997</v>
      </c>
      <c r="I50" s="16">
        <f t="shared" si="15"/>
        <v>7.9300000000000006</v>
      </c>
      <c r="J50" s="16">
        <f t="shared" si="15"/>
        <v>0.01</v>
      </c>
      <c r="K50" s="16">
        <f t="shared" si="15"/>
        <v>0.01</v>
      </c>
      <c r="L50" s="16">
        <f t="shared" si="15"/>
        <v>0</v>
      </c>
      <c r="M50" s="16">
        <f t="shared" si="15"/>
        <v>0</v>
      </c>
      <c r="N50" s="16">
        <f t="shared" si="15"/>
        <v>7.94</v>
      </c>
      <c r="O50" s="16">
        <f t="shared" si="15"/>
        <v>214.12000000000003</v>
      </c>
      <c r="P50" s="16">
        <f t="shared" si="15"/>
        <v>1.23</v>
      </c>
      <c r="Q50" s="16">
        <f t="shared" si="15"/>
        <v>61.41</v>
      </c>
      <c r="R50" s="16">
        <f t="shared" si="15"/>
        <v>0</v>
      </c>
      <c r="S50" s="16">
        <f t="shared" si="15"/>
        <v>0.41000000000000003</v>
      </c>
      <c r="T50" s="16">
        <f t="shared" si="15"/>
        <v>215.35000000000002</v>
      </c>
      <c r="U50" s="16">
        <f t="shared" si="15"/>
        <v>95352.793000000005</v>
      </c>
      <c r="V50" s="64"/>
      <c r="W50" s="64"/>
    </row>
    <row r="51" spans="1:23" s="17" customFormat="1" ht="42.75" customHeight="1">
      <c r="A51" s="14"/>
      <c r="B51" s="15" t="s">
        <v>57</v>
      </c>
      <c r="C51" s="16">
        <f>C50+C39+C25</f>
        <v>172780.45500000002</v>
      </c>
      <c r="D51" s="16">
        <f t="shared" ref="D51:U51" si="16">D50+D39+D25</f>
        <v>249.98999999999998</v>
      </c>
      <c r="E51" s="16">
        <f t="shared" si="16"/>
        <v>773.02499999999998</v>
      </c>
      <c r="F51" s="16">
        <f t="shared" si="16"/>
        <v>255.75</v>
      </c>
      <c r="G51" s="16">
        <f t="shared" si="16"/>
        <v>349.88</v>
      </c>
      <c r="H51" s="16">
        <f t="shared" si="16"/>
        <v>172774.69500000001</v>
      </c>
      <c r="I51" s="16">
        <f t="shared" si="16"/>
        <v>2065.2849999999999</v>
      </c>
      <c r="J51" s="16">
        <f t="shared" si="16"/>
        <v>142.38999999999996</v>
      </c>
      <c r="K51" s="16">
        <f t="shared" si="16"/>
        <v>160.59199999999998</v>
      </c>
      <c r="L51" s="16">
        <f t="shared" si="16"/>
        <v>0.99</v>
      </c>
      <c r="M51" s="16">
        <f t="shared" si="16"/>
        <v>0.99</v>
      </c>
      <c r="N51" s="16">
        <f t="shared" si="16"/>
        <v>2206.6850000000004</v>
      </c>
      <c r="O51" s="16">
        <f t="shared" si="16"/>
        <v>5201.2740000000003</v>
      </c>
      <c r="P51" s="16">
        <f t="shared" si="16"/>
        <v>518.89</v>
      </c>
      <c r="Q51" s="16">
        <f t="shared" si="16"/>
        <v>851.43</v>
      </c>
      <c r="R51" s="16">
        <f t="shared" si="16"/>
        <v>70.959999999999994</v>
      </c>
      <c r="S51" s="16">
        <f t="shared" si="16"/>
        <v>144.16999999999999</v>
      </c>
      <c r="T51" s="16">
        <f t="shared" si="16"/>
        <v>5649.2039999999997</v>
      </c>
      <c r="U51" s="16">
        <f t="shared" si="16"/>
        <v>180630.584</v>
      </c>
      <c r="V51" s="64"/>
      <c r="W51" s="64"/>
    </row>
    <row r="52" spans="1:23" s="23" customFormat="1" ht="42.75" hidden="1" customHeight="1">
      <c r="A52" s="19"/>
      <c r="B52" s="20"/>
      <c r="C52" s="10">
        <f>'May 2022'!H52</f>
        <v>0</v>
      </c>
      <c r="D52" s="21"/>
      <c r="E52" s="10">
        <f>'May 2022'!E52+'June 2022'!D52</f>
        <v>0</v>
      </c>
      <c r="F52" s="21"/>
      <c r="G52" s="10">
        <f>'May 2022'!G52+'June 2022'!F52</f>
        <v>0</v>
      </c>
      <c r="H52" s="10">
        <f t="shared" si="0"/>
        <v>0</v>
      </c>
      <c r="I52" s="10">
        <f>'May 2022'!N52</f>
        <v>0</v>
      </c>
      <c r="J52" s="21"/>
      <c r="K52" s="10">
        <f>'May 2022'!K52+'June 2022'!J52</f>
        <v>0</v>
      </c>
      <c r="L52" s="21"/>
      <c r="M52" s="10">
        <f>'May 2022'!M52+'June 2022'!L52</f>
        <v>0</v>
      </c>
      <c r="N52" s="21"/>
      <c r="O52" s="21"/>
      <c r="P52" s="21"/>
      <c r="Q52" s="10">
        <f>'May 2022'!Q52+'June 2022'!P52</f>
        <v>0</v>
      </c>
      <c r="R52" s="21"/>
      <c r="S52" s="10">
        <f>'May 2022'!S52+'June 2022'!R52</f>
        <v>0</v>
      </c>
      <c r="T52" s="21"/>
      <c r="U52" s="21"/>
      <c r="V52" s="21"/>
      <c r="W52" s="21"/>
    </row>
    <row r="53" spans="1:23" s="23" customFormat="1" hidden="1">
      <c r="A53" s="19"/>
      <c r="B53" s="20"/>
      <c r="C53" s="10">
        <f>'May 2022'!H53</f>
        <v>0</v>
      </c>
      <c r="D53" s="21"/>
      <c r="E53" s="10">
        <f>'May 2022'!E53+'June 2022'!D53</f>
        <v>0</v>
      </c>
      <c r="F53" s="21"/>
      <c r="G53" s="10">
        <f>'May 2022'!G53+'June 2022'!F53</f>
        <v>0</v>
      </c>
      <c r="H53" s="10">
        <f t="shared" si="0"/>
        <v>0</v>
      </c>
      <c r="I53" s="10">
        <f>'May 2022'!N53</f>
        <v>0</v>
      </c>
      <c r="J53" s="21"/>
      <c r="K53" s="10">
        <f>'May 2022'!K53+'June 2022'!J53</f>
        <v>0</v>
      </c>
      <c r="L53" s="21"/>
      <c r="M53" s="10">
        <f>'May 2022'!M53+'June 2022'!L53</f>
        <v>0</v>
      </c>
      <c r="N53" s="21"/>
      <c r="O53" s="21"/>
      <c r="P53" s="24"/>
      <c r="Q53" s="10">
        <f>'May 2022'!Q53+'June 2022'!P53</f>
        <v>0</v>
      </c>
      <c r="R53" s="21"/>
      <c r="S53" s="10">
        <f>'May 2022'!S53+'June 2022'!R53</f>
        <v>0</v>
      </c>
      <c r="T53" s="25"/>
      <c r="U53" s="21"/>
      <c r="V53" s="21"/>
      <c r="W53" s="21"/>
    </row>
    <row r="54" spans="1:23" s="23" customFormat="1">
      <c r="A54" s="19"/>
      <c r="B54" s="20"/>
      <c r="C54" s="21"/>
      <c r="D54" s="21"/>
      <c r="E54" s="22"/>
      <c r="F54" s="21"/>
      <c r="G54" s="21"/>
      <c r="H54" s="21"/>
      <c r="I54" s="24"/>
      <c r="J54" s="21"/>
      <c r="K54" s="22"/>
      <c r="L54" s="21"/>
      <c r="M54" s="24"/>
      <c r="N54" s="21" t="s">
        <v>66</v>
      </c>
      <c r="O54" s="21"/>
      <c r="P54" s="24"/>
      <c r="Q54" s="22"/>
      <c r="R54" s="21"/>
      <c r="S54" s="24"/>
      <c r="T54" s="25"/>
      <c r="U54" s="21"/>
      <c r="V54" s="21"/>
      <c r="W54" s="21"/>
    </row>
    <row r="55" spans="1:23" s="23" customFormat="1">
      <c r="A55" s="19"/>
      <c r="B55" s="20"/>
      <c r="C55" s="21"/>
      <c r="D55" s="21"/>
      <c r="E55" s="22"/>
      <c r="F55" s="21"/>
      <c r="G55" s="21"/>
      <c r="H55" s="21"/>
      <c r="I55" s="24"/>
      <c r="J55" s="21"/>
      <c r="K55" s="22"/>
      <c r="L55" s="21"/>
      <c r="M55" s="24"/>
      <c r="N55" s="21"/>
      <c r="O55" s="21"/>
      <c r="P55" s="24"/>
      <c r="Q55" s="22"/>
      <c r="R55" s="21"/>
      <c r="S55" s="24"/>
      <c r="T55" s="25"/>
      <c r="U55" s="21"/>
      <c r="V55" s="21"/>
      <c r="W55" s="21"/>
    </row>
    <row r="56" spans="1:23" s="17" customFormat="1" ht="57" customHeight="1">
      <c r="A56" s="26"/>
      <c r="B56" s="27"/>
      <c r="C56" s="28"/>
      <c r="D56" s="112" t="s">
        <v>58</v>
      </c>
      <c r="E56" s="112"/>
      <c r="F56" s="112"/>
      <c r="G56" s="112"/>
      <c r="H56" s="64">
        <f>D51+J51+P51-F51-L51-R51</f>
        <v>583.56999999999994</v>
      </c>
      <c r="I56" s="64"/>
      <c r="J56" s="64"/>
      <c r="K56" s="64"/>
      <c r="L56" s="64"/>
      <c r="M56" s="64"/>
      <c r="N56" s="64"/>
      <c r="O56" s="29"/>
      <c r="P56" s="64"/>
      <c r="Q56" s="64"/>
      <c r="R56" s="64"/>
      <c r="S56" s="64"/>
      <c r="T56" s="64"/>
      <c r="U56" s="65"/>
      <c r="V56" s="65"/>
      <c r="W56" s="65"/>
    </row>
    <row r="57" spans="1:23" s="17" customFormat="1" ht="66" customHeight="1">
      <c r="A57" s="26"/>
      <c r="B57" s="27"/>
      <c r="C57" s="64"/>
      <c r="D57" s="112" t="s">
        <v>59</v>
      </c>
      <c r="E57" s="112"/>
      <c r="F57" s="112"/>
      <c r="G57" s="112"/>
      <c r="H57" s="64">
        <f>E51+K51+Q51-G51-M51-S51</f>
        <v>1290.0069999999998</v>
      </c>
      <c r="I57" s="64"/>
      <c r="J57" s="64"/>
      <c r="K57" s="64"/>
      <c r="L57" s="64"/>
      <c r="M57" s="64"/>
      <c r="N57" s="64"/>
      <c r="O57" s="29"/>
      <c r="P57" s="64"/>
      <c r="Q57" s="64"/>
      <c r="R57" s="64"/>
      <c r="S57" s="64"/>
      <c r="T57" s="64"/>
      <c r="U57" s="65"/>
      <c r="V57" s="65"/>
      <c r="W57" s="65"/>
    </row>
    <row r="58" spans="1:23" ht="54" customHeight="1">
      <c r="C58" s="28"/>
      <c r="D58" s="112" t="s">
        <v>60</v>
      </c>
      <c r="E58" s="112"/>
      <c r="F58" s="112"/>
      <c r="G58" s="112"/>
      <c r="H58" s="64">
        <f>H51+N51+T51</f>
        <v>180630.584</v>
      </c>
      <c r="I58" s="31"/>
      <c r="J58" s="31"/>
      <c r="K58" s="31"/>
      <c r="L58" s="32"/>
      <c r="M58" s="32"/>
      <c r="N58" s="45" t="e">
        <f>#REF!+'June 2022'!H56</f>
        <v>#REF!</v>
      </c>
      <c r="O58" s="12"/>
      <c r="P58" s="31"/>
      <c r="Q58" s="31"/>
      <c r="T58" s="41"/>
      <c r="U58" s="12"/>
      <c r="V58" s="12"/>
      <c r="W58" s="12"/>
    </row>
    <row r="59" spans="1:23" ht="42.75" customHeight="1">
      <c r="C59" s="65"/>
      <c r="D59" s="65"/>
      <c r="E59" s="1"/>
      <c r="H59" s="31"/>
      <c r="J59" s="33" t="e">
        <f>#REF!+'June 2022'!H56</f>
        <v>#REF!</v>
      </c>
      <c r="K59" s="31"/>
      <c r="L59" s="33" t="e">
        <f>#REF!+'June 2022'!H56</f>
        <v>#REF!</v>
      </c>
      <c r="M59" s="31"/>
      <c r="O59" s="12"/>
    </row>
    <row r="60" spans="1:23" s="17" customFormat="1" ht="78.75" customHeight="1">
      <c r="B60" s="114" t="s">
        <v>61</v>
      </c>
      <c r="C60" s="114"/>
      <c r="D60" s="114"/>
      <c r="E60" s="114"/>
      <c r="F60" s="114"/>
      <c r="H60" s="1"/>
      <c r="I60" s="34" t="e">
        <f>#REF!+'June 2022'!H56</f>
        <v>#REF!</v>
      </c>
      <c r="J60" s="1"/>
      <c r="K60" s="31"/>
      <c r="L60" s="31"/>
      <c r="M60" s="33">
        <f>'March 2022'!H58+'June 2022'!H56</f>
        <v>179924.14699999997</v>
      </c>
      <c r="Q60" s="114" t="s">
        <v>62</v>
      </c>
      <c r="R60" s="114"/>
      <c r="S60" s="114"/>
      <c r="T60" s="114"/>
      <c r="U60" s="114"/>
    </row>
    <row r="61" spans="1:23" s="17" customFormat="1" ht="45.75" customHeight="1">
      <c r="B61" s="114" t="s">
        <v>63</v>
      </c>
      <c r="C61" s="114"/>
      <c r="D61" s="114"/>
      <c r="E61" s="114"/>
      <c r="F61" s="114"/>
      <c r="G61" s="35"/>
      <c r="H61" s="36">
        <f>'[1]feb 2021'!H58+'June 2022'!H56</f>
        <v>177421.21300000002</v>
      </c>
      <c r="I61" s="35"/>
      <c r="J61" s="28"/>
      <c r="K61" s="31"/>
      <c r="L61" s="31"/>
      <c r="M61" s="31"/>
      <c r="Q61" s="114" t="s">
        <v>63</v>
      </c>
      <c r="R61" s="114"/>
      <c r="S61" s="114"/>
      <c r="T61" s="114"/>
      <c r="U61" s="114"/>
    </row>
    <row r="62" spans="1:23" s="17" customFormat="1">
      <c r="B62" s="27"/>
      <c r="F62" s="37"/>
      <c r="I62" s="35"/>
      <c r="J62" s="37"/>
      <c r="Q62" s="65"/>
      <c r="R62" s="65"/>
      <c r="S62" s="2"/>
      <c r="T62" s="65"/>
      <c r="U62" s="65"/>
      <c r="V62" s="65"/>
      <c r="W62" s="65"/>
    </row>
    <row r="63" spans="1:23" s="17" customFormat="1" ht="61.5" customHeight="1">
      <c r="B63" s="27"/>
      <c r="G63" s="36">
        <f>'[1]May 2020'!H56+'June 2022'!H56</f>
        <v>175314.53100000002</v>
      </c>
      <c r="J63" s="113" t="s">
        <v>64</v>
      </c>
      <c r="K63" s="113"/>
      <c r="L63" s="113"/>
      <c r="O63" s="65"/>
      <c r="S63" s="37"/>
      <c r="U63" s="65"/>
      <c r="V63" s="65"/>
      <c r="W63" s="65"/>
    </row>
    <row r="64" spans="1:23" s="17" customFormat="1" ht="58.5" customHeight="1">
      <c r="B64" s="27"/>
      <c r="H64" s="1"/>
      <c r="J64" s="113" t="s">
        <v>65</v>
      </c>
      <c r="K64" s="113"/>
      <c r="L64" s="113"/>
      <c r="O64" s="65"/>
      <c r="S64" s="37"/>
      <c r="U64" s="65"/>
      <c r="V64" s="65"/>
      <c r="W64" s="65"/>
    </row>
    <row r="66" spans="2:23">
      <c r="G66" s="31"/>
      <c r="H66" s="33" t="e">
        <f>#REF!+'June 2022'!H56</f>
        <v>#REF!</v>
      </c>
    </row>
    <row r="67" spans="2:23">
      <c r="H67" s="31"/>
      <c r="J67" s="31"/>
    </row>
    <row r="69" spans="2:23">
      <c r="B69" s="3"/>
      <c r="G69" s="38"/>
      <c r="O69" s="3"/>
      <c r="U69" s="3"/>
      <c r="V69" s="3"/>
      <c r="W69" s="3"/>
    </row>
  </sheetData>
  <mergeCells count="31">
    <mergeCell ref="V26:V27"/>
    <mergeCell ref="V45:V48"/>
    <mergeCell ref="J64:L64"/>
    <mergeCell ref="D58:G58"/>
    <mergeCell ref="B60:F60"/>
    <mergeCell ref="Q60:U60"/>
    <mergeCell ref="B61:F61"/>
    <mergeCell ref="Q61:U61"/>
    <mergeCell ref="J63:L63"/>
    <mergeCell ref="D57:G57"/>
    <mergeCell ref="H5:H6"/>
    <mergeCell ref="I5:I6"/>
    <mergeCell ref="J5:K5"/>
    <mergeCell ref="L5:M5"/>
    <mergeCell ref="D56:G5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9"/>
  <sheetViews>
    <sheetView topLeftCell="A37" zoomScale="36" zoomScaleNormal="36" zoomScaleSheetLayoutView="25" workbookViewId="0">
      <selection activeCell="D7" sqref="D7"/>
    </sheetView>
  </sheetViews>
  <sheetFormatPr defaultRowHeight="33"/>
  <cols>
    <col min="1" max="1" width="16.7109375" style="3" customWidth="1"/>
    <col min="2" max="2" width="45.5703125" style="30" customWidth="1"/>
    <col min="3" max="3" width="36.5703125" style="3" customWidth="1"/>
    <col min="4" max="4" width="28.140625" style="3" customWidth="1"/>
    <col min="5" max="5" width="40.28515625" style="3" customWidth="1"/>
    <col min="6" max="6" width="32.42578125" style="3" customWidth="1"/>
    <col min="7" max="7" width="28.140625" style="3" customWidth="1"/>
    <col min="8" max="8" width="41.85546875" style="3" customWidth="1"/>
    <col min="9" max="9" width="29.5703125" style="3" customWidth="1"/>
    <col min="10" max="10" width="39.42578125" style="3" customWidth="1"/>
    <col min="11" max="11" width="28.140625" style="3" customWidth="1"/>
    <col min="12" max="12" width="36.7109375" style="3" customWidth="1"/>
    <col min="13" max="13" width="30.140625" style="3" customWidth="1"/>
    <col min="14" max="14" width="28.140625" style="3" customWidth="1"/>
    <col min="15" max="15" width="47.28515625" style="5" customWidth="1"/>
    <col min="16" max="16" width="32.7109375" style="3" customWidth="1"/>
    <col min="17" max="17" width="34.5703125" style="3" customWidth="1"/>
    <col min="18" max="18" width="36" style="3" customWidth="1"/>
    <col min="19" max="19" width="28.140625" style="6" customWidth="1"/>
    <col min="20" max="20" width="28.140625" style="3" customWidth="1"/>
    <col min="21" max="21" width="36.7109375" style="5" customWidth="1"/>
    <col min="22" max="22" width="41.42578125" style="5" customWidth="1"/>
    <col min="23" max="23" width="26" style="5" customWidth="1"/>
    <col min="24" max="16384" width="9.140625" style="3"/>
  </cols>
  <sheetData>
    <row r="1" spans="1:183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2"/>
      <c r="W1" s="2"/>
    </row>
    <row r="2" spans="1:183" ht="7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2"/>
      <c r="W2" s="2"/>
    </row>
    <row r="3" spans="1:183" ht="35.25" customHeight="1">
      <c r="A3" s="110" t="s">
        <v>78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2"/>
      <c r="W3" s="2"/>
    </row>
    <row r="4" spans="1:183" s="6" customFormat="1" ht="32.25" customHeight="1">
      <c r="A4" s="110" t="s">
        <v>1</v>
      </c>
      <c r="B4" s="110" t="s">
        <v>2</v>
      </c>
      <c r="C4" s="110" t="s">
        <v>3</v>
      </c>
      <c r="D4" s="110"/>
      <c r="E4" s="110"/>
      <c r="F4" s="110"/>
      <c r="G4" s="110"/>
      <c r="H4" s="110"/>
      <c r="I4" s="110" t="s">
        <v>4</v>
      </c>
      <c r="J4" s="111"/>
      <c r="K4" s="111"/>
      <c r="L4" s="111"/>
      <c r="M4" s="111"/>
      <c r="N4" s="111"/>
      <c r="O4" s="110" t="s">
        <v>5</v>
      </c>
      <c r="P4" s="111"/>
      <c r="Q4" s="111"/>
      <c r="R4" s="111"/>
      <c r="S4" s="111"/>
      <c r="T4" s="111"/>
      <c r="U4" s="4"/>
      <c r="V4" s="5"/>
      <c r="W4" s="5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</row>
    <row r="5" spans="1:183" s="6" customFormat="1" ht="41.25" customHeight="1">
      <c r="A5" s="110"/>
      <c r="B5" s="110"/>
      <c r="C5" s="110" t="s">
        <v>6</v>
      </c>
      <c r="D5" s="110" t="s">
        <v>7</v>
      </c>
      <c r="E5" s="110"/>
      <c r="F5" s="110" t="s">
        <v>8</v>
      </c>
      <c r="G5" s="110"/>
      <c r="H5" s="110" t="s">
        <v>9</v>
      </c>
      <c r="I5" s="110" t="s">
        <v>6</v>
      </c>
      <c r="J5" s="110" t="s">
        <v>7</v>
      </c>
      <c r="K5" s="110"/>
      <c r="L5" s="110" t="s">
        <v>8</v>
      </c>
      <c r="M5" s="110"/>
      <c r="N5" s="110" t="s">
        <v>9</v>
      </c>
      <c r="O5" s="110" t="s">
        <v>10</v>
      </c>
      <c r="P5" s="110" t="s">
        <v>7</v>
      </c>
      <c r="Q5" s="110"/>
      <c r="R5" s="110" t="s">
        <v>8</v>
      </c>
      <c r="S5" s="110"/>
      <c r="T5" s="110" t="s">
        <v>9</v>
      </c>
      <c r="U5" s="110" t="s">
        <v>11</v>
      </c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s="6" customFormat="1" ht="60" customHeight="1">
      <c r="A6" s="110"/>
      <c r="B6" s="110"/>
      <c r="C6" s="110"/>
      <c r="D6" s="66" t="s">
        <v>12</v>
      </c>
      <c r="E6" s="66" t="s">
        <v>13</v>
      </c>
      <c r="F6" s="66" t="s">
        <v>12</v>
      </c>
      <c r="G6" s="66" t="s">
        <v>13</v>
      </c>
      <c r="H6" s="110"/>
      <c r="I6" s="110"/>
      <c r="J6" s="7" t="s">
        <v>12</v>
      </c>
      <c r="K6" s="66" t="s">
        <v>13</v>
      </c>
      <c r="L6" s="66" t="s">
        <v>12</v>
      </c>
      <c r="M6" s="66" t="s">
        <v>13</v>
      </c>
      <c r="N6" s="110"/>
      <c r="O6" s="110"/>
      <c r="P6" s="66" t="s">
        <v>12</v>
      </c>
      <c r="Q6" s="66" t="s">
        <v>13</v>
      </c>
      <c r="R6" s="66" t="s">
        <v>12</v>
      </c>
      <c r="S6" s="66" t="s">
        <v>13</v>
      </c>
      <c r="T6" s="110"/>
      <c r="U6" s="110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</row>
    <row r="7" spans="1:183" ht="42.75" customHeight="1">
      <c r="A7" s="8">
        <v>1</v>
      </c>
      <c r="B7" s="9" t="s">
        <v>14</v>
      </c>
      <c r="C7" s="10">
        <f>'June 2022'!H7</f>
        <v>208.77000000000064</v>
      </c>
      <c r="D7" s="10">
        <v>0</v>
      </c>
      <c r="E7" s="10">
        <f>'June 2022'!E7+'July 2022'!D7</f>
        <v>47.73</v>
      </c>
      <c r="F7" s="10">
        <v>66.8</v>
      </c>
      <c r="G7" s="10">
        <f>'June 2022'!G7+'July 2022'!F7</f>
        <v>66.8</v>
      </c>
      <c r="H7" s="10">
        <f>C7+D7-F7</f>
        <v>141.97000000000065</v>
      </c>
      <c r="I7" s="10">
        <f>'June 2022'!N7</f>
        <v>131.46499999999995</v>
      </c>
      <c r="J7" s="10">
        <v>27.35</v>
      </c>
      <c r="K7" s="10">
        <f>'June 2022'!K7+'July 2022'!J7</f>
        <v>28.01</v>
      </c>
      <c r="L7" s="10">
        <v>0.04</v>
      </c>
      <c r="M7" s="10">
        <f>'June 2022'!M7+'July 2022'!L7</f>
        <v>0.04</v>
      </c>
      <c r="N7" s="10">
        <f>I7+J7-L7</f>
        <v>158.77499999999995</v>
      </c>
      <c r="O7" s="11">
        <f>'June 2022'!T7</f>
        <v>284.1400000000001</v>
      </c>
      <c r="P7" s="10">
        <v>0</v>
      </c>
      <c r="Q7" s="10">
        <f>'June 2022'!Q7+'July 2022'!P7</f>
        <v>0.46</v>
      </c>
      <c r="R7" s="10">
        <v>0</v>
      </c>
      <c r="S7" s="10">
        <f>'June 2022'!S7+'July 2022'!R7</f>
        <v>0</v>
      </c>
      <c r="T7" s="11">
        <f>O7+P7-R7</f>
        <v>284.1400000000001</v>
      </c>
      <c r="U7" s="11">
        <f>H7+N7+T7</f>
        <v>584.88500000000067</v>
      </c>
      <c r="V7" s="12"/>
      <c r="W7" s="12"/>
    </row>
    <row r="8" spans="1:183" ht="42.75" customHeight="1">
      <c r="A8" s="8">
        <v>2</v>
      </c>
      <c r="B8" s="9" t="s">
        <v>15</v>
      </c>
      <c r="C8" s="10">
        <f>'June 2022'!H8</f>
        <v>497.65499999999997</v>
      </c>
      <c r="D8" s="10">
        <v>0.09</v>
      </c>
      <c r="E8" s="10">
        <f>'June 2022'!E8+'July 2022'!D8</f>
        <v>0.27</v>
      </c>
      <c r="F8" s="10">
        <v>0.19</v>
      </c>
      <c r="G8" s="10">
        <f>'June 2022'!G8+'July 2022'!F8</f>
        <v>0.19</v>
      </c>
      <c r="H8" s="10">
        <f t="shared" ref="H8:H53" si="0">C8+D8-F8</f>
        <v>497.55499999999995</v>
      </c>
      <c r="I8" s="10">
        <f>'June 2022'!N8</f>
        <v>122.572</v>
      </c>
      <c r="J8" s="10">
        <v>0.88</v>
      </c>
      <c r="K8" s="10">
        <f>'June 2022'!K8+'July 2022'!J8</f>
        <v>3.4219999999999997</v>
      </c>
      <c r="L8" s="10">
        <v>0</v>
      </c>
      <c r="M8" s="10">
        <f>'June 2022'!M8+'July 2022'!L8</f>
        <v>0</v>
      </c>
      <c r="N8" s="10">
        <f t="shared" ref="N8:N48" si="1">I8+J8-L8</f>
        <v>123.452</v>
      </c>
      <c r="O8" s="11">
        <f>'June 2022'!T8</f>
        <v>222.27000000000004</v>
      </c>
      <c r="P8" s="10">
        <v>0</v>
      </c>
      <c r="Q8" s="10">
        <f>'June 2022'!Q8+'July 2022'!P8</f>
        <v>34.629999999999995</v>
      </c>
      <c r="R8" s="10">
        <v>0</v>
      </c>
      <c r="S8" s="10">
        <f>'June 2022'!S8+'July 2022'!R8</f>
        <v>0</v>
      </c>
      <c r="T8" s="11">
        <f t="shared" ref="T8:T48" si="2">O8+P8-R8</f>
        <v>222.27000000000004</v>
      </c>
      <c r="U8" s="11">
        <f t="shared" ref="U8:U48" si="3">H8+N8+T8</f>
        <v>843.27700000000004</v>
      </c>
      <c r="V8" s="12"/>
      <c r="W8" s="12"/>
    </row>
    <row r="9" spans="1:183" ht="42.75" customHeight="1">
      <c r="A9" s="8">
        <v>3</v>
      </c>
      <c r="B9" s="9" t="s">
        <v>16</v>
      </c>
      <c r="C9" s="10">
        <f>'June 2022'!H9</f>
        <v>653.9599999999997</v>
      </c>
      <c r="D9" s="10">
        <v>0</v>
      </c>
      <c r="E9" s="10">
        <f>'June 2022'!E9+'July 2022'!D9</f>
        <v>0</v>
      </c>
      <c r="F9" s="10">
        <v>0</v>
      </c>
      <c r="G9" s="10">
        <f>'June 2022'!G9+'July 2022'!F9</f>
        <v>90</v>
      </c>
      <c r="H9" s="10">
        <f t="shared" si="0"/>
        <v>653.9599999999997</v>
      </c>
      <c r="I9" s="10">
        <f>'June 2022'!N9</f>
        <v>201.52300000000005</v>
      </c>
      <c r="J9" s="10">
        <v>0.76</v>
      </c>
      <c r="K9" s="10">
        <f>'June 2022'!K9+'July 2022'!J9</f>
        <v>4.9499999999999993</v>
      </c>
      <c r="L9" s="10">
        <v>0</v>
      </c>
      <c r="M9" s="10">
        <f>'June 2022'!M9+'July 2022'!L9</f>
        <v>0</v>
      </c>
      <c r="N9" s="10">
        <f t="shared" si="1"/>
        <v>202.28300000000004</v>
      </c>
      <c r="O9" s="11">
        <f>'June 2022'!T9</f>
        <v>157.63999999999999</v>
      </c>
      <c r="P9" s="10">
        <v>0</v>
      </c>
      <c r="Q9" s="10">
        <f>'June 2022'!Q9+'July 2022'!P9</f>
        <v>16.2</v>
      </c>
      <c r="R9" s="10">
        <v>0</v>
      </c>
      <c r="S9" s="10">
        <f>'June 2022'!S9+'July 2022'!R9</f>
        <v>0</v>
      </c>
      <c r="T9" s="11">
        <f t="shared" si="2"/>
        <v>157.63999999999999</v>
      </c>
      <c r="U9" s="11">
        <f t="shared" si="3"/>
        <v>1013.8829999999997</v>
      </c>
      <c r="V9" s="12"/>
      <c r="W9" s="12"/>
    </row>
    <row r="10" spans="1:183" ht="42.75" customHeight="1">
      <c r="A10" s="8">
        <v>4</v>
      </c>
      <c r="B10" s="13" t="s">
        <v>17</v>
      </c>
      <c r="C10" s="10">
        <f>'June 2022'!H10</f>
        <v>0</v>
      </c>
      <c r="D10" s="10">
        <v>0</v>
      </c>
      <c r="E10" s="10">
        <f>'June 2022'!E10+'July 2022'!D10</f>
        <v>0</v>
      </c>
      <c r="F10" s="10">
        <v>0</v>
      </c>
      <c r="G10" s="10">
        <f>'June 2022'!G10+'July 2022'!F10</f>
        <v>0</v>
      </c>
      <c r="H10" s="10">
        <f t="shared" si="0"/>
        <v>0</v>
      </c>
      <c r="I10" s="10">
        <f>'June 2022'!N10</f>
        <v>142.50400000000008</v>
      </c>
      <c r="J10" s="10">
        <f>0.1+0.18</f>
        <v>0.28000000000000003</v>
      </c>
      <c r="K10" s="10">
        <f>'June 2022'!K10+'July 2022'!J10</f>
        <v>0.75</v>
      </c>
      <c r="L10" s="10">
        <v>0</v>
      </c>
      <c r="M10" s="10">
        <f>'June 2022'!M10+'July 2022'!L10</f>
        <v>0</v>
      </c>
      <c r="N10" s="10">
        <f t="shared" si="1"/>
        <v>142.78400000000008</v>
      </c>
      <c r="O10" s="11">
        <f>'June 2022'!T10</f>
        <v>234.24999999999997</v>
      </c>
      <c r="P10" s="10">
        <v>0</v>
      </c>
      <c r="Q10" s="10">
        <f>'June 2022'!Q10+'July 2022'!P10</f>
        <v>1.08</v>
      </c>
      <c r="R10" s="10">
        <v>0</v>
      </c>
      <c r="S10" s="10">
        <f>'June 2022'!S10+'July 2022'!R10</f>
        <v>0</v>
      </c>
      <c r="T10" s="11">
        <f t="shared" si="2"/>
        <v>234.24999999999997</v>
      </c>
      <c r="U10" s="11">
        <f t="shared" si="3"/>
        <v>377.03400000000005</v>
      </c>
      <c r="V10" s="12"/>
      <c r="W10" s="12"/>
    </row>
    <row r="11" spans="1:183" s="17" customFormat="1" ht="42.75" customHeight="1">
      <c r="A11" s="14"/>
      <c r="B11" s="15" t="s">
        <v>18</v>
      </c>
      <c r="C11" s="16">
        <f>SUM(C7:C10)</f>
        <v>1360.3850000000002</v>
      </c>
      <c r="D11" s="16">
        <f t="shared" ref="D11:U11" si="4">SUM(D7:D10)</f>
        <v>0.09</v>
      </c>
      <c r="E11" s="16">
        <f t="shared" si="4"/>
        <v>48</v>
      </c>
      <c r="F11" s="16">
        <f t="shared" si="4"/>
        <v>66.989999999999995</v>
      </c>
      <c r="G11" s="16">
        <f t="shared" si="4"/>
        <v>156.99</v>
      </c>
      <c r="H11" s="16">
        <f t="shared" si="4"/>
        <v>1293.4850000000001</v>
      </c>
      <c r="I11" s="16">
        <f t="shared" si="4"/>
        <v>598.06400000000008</v>
      </c>
      <c r="J11" s="16">
        <f t="shared" si="4"/>
        <v>29.270000000000003</v>
      </c>
      <c r="K11" s="16">
        <f t="shared" si="4"/>
        <v>37.132000000000005</v>
      </c>
      <c r="L11" s="16">
        <f t="shared" si="4"/>
        <v>0.04</v>
      </c>
      <c r="M11" s="16">
        <f t="shared" si="4"/>
        <v>0.04</v>
      </c>
      <c r="N11" s="16">
        <f t="shared" si="4"/>
        <v>627.2940000000001</v>
      </c>
      <c r="O11" s="16">
        <f t="shared" si="4"/>
        <v>898.30000000000018</v>
      </c>
      <c r="P11" s="16">
        <f t="shared" si="4"/>
        <v>0</v>
      </c>
      <c r="Q11" s="16">
        <f t="shared" si="4"/>
        <v>52.36999999999999</v>
      </c>
      <c r="R11" s="16">
        <f t="shared" si="4"/>
        <v>0</v>
      </c>
      <c r="S11" s="16">
        <f t="shared" si="4"/>
        <v>0</v>
      </c>
      <c r="T11" s="16">
        <f t="shared" si="4"/>
        <v>898.30000000000018</v>
      </c>
      <c r="U11" s="16">
        <f t="shared" si="4"/>
        <v>2819.0790000000006</v>
      </c>
      <c r="V11" s="64"/>
      <c r="W11" s="64"/>
    </row>
    <row r="12" spans="1:183" ht="42.75" customHeight="1">
      <c r="A12" s="8">
        <v>5</v>
      </c>
      <c r="B12" s="9" t="s">
        <v>19</v>
      </c>
      <c r="C12" s="10">
        <f>'June 2022'!H12</f>
        <v>1653.4899999999991</v>
      </c>
      <c r="D12" s="10">
        <v>0</v>
      </c>
      <c r="E12" s="10">
        <f>'June 2022'!E12+'July 2022'!D12</f>
        <v>0</v>
      </c>
      <c r="F12" s="10">
        <v>0</v>
      </c>
      <c r="G12" s="10">
        <f>'June 2022'!G12+'July 2022'!F12</f>
        <v>0</v>
      </c>
      <c r="H12" s="10">
        <f t="shared" si="0"/>
        <v>1653.4899999999991</v>
      </c>
      <c r="I12" s="10">
        <f>'June 2022'!N12</f>
        <v>122.49300000000002</v>
      </c>
      <c r="J12" s="10">
        <v>0.08</v>
      </c>
      <c r="K12" s="10">
        <f>'June 2022'!K12+'July 2022'!J12</f>
        <v>0.94000000000000006</v>
      </c>
      <c r="L12" s="10">
        <v>0</v>
      </c>
      <c r="M12" s="10">
        <f>'June 2022'!M12+'July 2022'!L12</f>
        <v>0</v>
      </c>
      <c r="N12" s="10">
        <f t="shared" si="1"/>
        <v>122.57300000000002</v>
      </c>
      <c r="O12" s="11">
        <f>'June 2022'!T12</f>
        <v>610.4</v>
      </c>
      <c r="P12" s="10">
        <f>15.75+15.75</f>
        <v>31.5</v>
      </c>
      <c r="Q12" s="10">
        <f>'June 2022'!Q12+'July 2022'!P12</f>
        <v>62.989999999999995</v>
      </c>
      <c r="R12" s="10">
        <v>0</v>
      </c>
      <c r="S12" s="10">
        <f>'June 2022'!S12+'July 2022'!R12</f>
        <v>0</v>
      </c>
      <c r="T12" s="11">
        <f t="shared" si="2"/>
        <v>641.9</v>
      </c>
      <c r="U12" s="11">
        <f t="shared" si="3"/>
        <v>2417.9629999999993</v>
      </c>
      <c r="V12" s="12"/>
      <c r="W12" s="12"/>
    </row>
    <row r="13" spans="1:183" ht="42.75" customHeight="1">
      <c r="A13" s="8">
        <v>6</v>
      </c>
      <c r="B13" s="9" t="s">
        <v>20</v>
      </c>
      <c r="C13" s="10">
        <f>'June 2022'!H13</f>
        <v>1023.7699999999998</v>
      </c>
      <c r="D13" s="10">
        <v>0</v>
      </c>
      <c r="E13" s="10">
        <f>'June 2022'!E13+'July 2022'!D13</f>
        <v>0</v>
      </c>
      <c r="F13" s="10">
        <v>0</v>
      </c>
      <c r="G13" s="10">
        <f>'June 2022'!G13+'July 2022'!F13</f>
        <v>0</v>
      </c>
      <c r="H13" s="10">
        <f t="shared" si="0"/>
        <v>1023.7699999999998</v>
      </c>
      <c r="I13" s="10">
        <f>'June 2022'!N13</f>
        <v>150.67400000000009</v>
      </c>
      <c r="J13" s="10">
        <v>0.56000000000000005</v>
      </c>
      <c r="K13" s="10">
        <f>'June 2022'!K13+'July 2022'!J13</f>
        <v>2.9200000000000004</v>
      </c>
      <c r="L13" s="10">
        <v>0.72</v>
      </c>
      <c r="M13" s="10">
        <f>'June 2022'!M13+'July 2022'!L13</f>
        <v>0.72</v>
      </c>
      <c r="N13" s="10">
        <f t="shared" si="1"/>
        <v>150.5140000000001</v>
      </c>
      <c r="O13" s="11">
        <f>'June 2022'!T13</f>
        <v>87.2</v>
      </c>
      <c r="P13" s="10">
        <v>0</v>
      </c>
      <c r="Q13" s="10">
        <f>'June 2022'!Q13+'July 2022'!P13</f>
        <v>0.67</v>
      </c>
      <c r="R13" s="10">
        <v>0</v>
      </c>
      <c r="S13" s="10">
        <f>'June 2022'!S13+'July 2022'!R13</f>
        <v>0</v>
      </c>
      <c r="T13" s="11">
        <f t="shared" si="2"/>
        <v>87.2</v>
      </c>
      <c r="U13" s="11">
        <f t="shared" si="3"/>
        <v>1261.4839999999999</v>
      </c>
      <c r="V13" s="12"/>
      <c r="W13" s="12"/>
    </row>
    <row r="14" spans="1:183" ht="42.75" customHeight="1">
      <c r="A14" s="8">
        <v>7</v>
      </c>
      <c r="B14" s="9" t="s">
        <v>21</v>
      </c>
      <c r="C14" s="10">
        <f>'June 2022'!H14</f>
        <v>2084.5799999999995</v>
      </c>
      <c r="D14" s="10">
        <v>0</v>
      </c>
      <c r="E14" s="10">
        <f>'June 2022'!E14+'July 2022'!D14</f>
        <v>0</v>
      </c>
      <c r="F14" s="10">
        <v>0</v>
      </c>
      <c r="G14" s="10">
        <f>'June 2022'!G14+'July 2022'!F14</f>
        <v>0</v>
      </c>
      <c r="H14" s="10">
        <f t="shared" si="0"/>
        <v>2084.5799999999995</v>
      </c>
      <c r="I14" s="10">
        <f>'June 2022'!N14</f>
        <v>194.95399999999998</v>
      </c>
      <c r="J14" s="10">
        <f>0.66-0.27</f>
        <v>0.39</v>
      </c>
      <c r="K14" s="10">
        <f>'June 2022'!K14+'July 2022'!J14</f>
        <v>1.4900000000000002</v>
      </c>
      <c r="L14" s="10">
        <v>0</v>
      </c>
      <c r="M14" s="10">
        <f>'June 2022'!M14+'July 2022'!L14</f>
        <v>0</v>
      </c>
      <c r="N14" s="10">
        <f t="shared" si="1"/>
        <v>195.34399999999997</v>
      </c>
      <c r="O14" s="11">
        <f>'June 2022'!T14</f>
        <v>383.96999999999991</v>
      </c>
      <c r="P14" s="10">
        <v>19.13</v>
      </c>
      <c r="Q14" s="10">
        <f>'June 2022'!Q14+'July 2022'!P14</f>
        <v>50.94</v>
      </c>
      <c r="R14" s="10">
        <v>0</v>
      </c>
      <c r="S14" s="10">
        <f>'June 2022'!S14+'July 2022'!R14</f>
        <v>0</v>
      </c>
      <c r="T14" s="11">
        <f t="shared" si="2"/>
        <v>403.09999999999991</v>
      </c>
      <c r="U14" s="11">
        <f t="shared" si="3"/>
        <v>2683.0239999999994</v>
      </c>
      <c r="V14" s="12"/>
      <c r="W14" s="12"/>
    </row>
    <row r="15" spans="1:183" s="17" customFormat="1" ht="42.75" customHeight="1">
      <c r="A15" s="14" t="s">
        <v>22</v>
      </c>
      <c r="B15" s="15" t="s">
        <v>23</v>
      </c>
      <c r="C15" s="16">
        <f>SUM(C12:C14)</f>
        <v>4761.8399999999983</v>
      </c>
      <c r="D15" s="16">
        <f t="shared" ref="D15:U15" si="5">SUM(D12:D14)</f>
        <v>0</v>
      </c>
      <c r="E15" s="16">
        <f t="shared" si="5"/>
        <v>0</v>
      </c>
      <c r="F15" s="16">
        <f t="shared" si="5"/>
        <v>0</v>
      </c>
      <c r="G15" s="16">
        <f t="shared" si="5"/>
        <v>0</v>
      </c>
      <c r="H15" s="16">
        <f t="shared" si="5"/>
        <v>4761.8399999999983</v>
      </c>
      <c r="I15" s="16">
        <f t="shared" si="5"/>
        <v>468.12100000000009</v>
      </c>
      <c r="J15" s="16">
        <f t="shared" si="5"/>
        <v>1.03</v>
      </c>
      <c r="K15" s="16">
        <f t="shared" si="5"/>
        <v>5.3500000000000005</v>
      </c>
      <c r="L15" s="16">
        <f t="shared" si="5"/>
        <v>0.72</v>
      </c>
      <c r="M15" s="16">
        <f t="shared" si="5"/>
        <v>0.72</v>
      </c>
      <c r="N15" s="16">
        <f t="shared" si="5"/>
        <v>468.43100000000004</v>
      </c>
      <c r="O15" s="16">
        <f t="shared" si="5"/>
        <v>1081.57</v>
      </c>
      <c r="P15" s="16">
        <f t="shared" si="5"/>
        <v>50.629999999999995</v>
      </c>
      <c r="Q15" s="16">
        <f t="shared" si="5"/>
        <v>114.6</v>
      </c>
      <c r="R15" s="16">
        <f t="shared" si="5"/>
        <v>0</v>
      </c>
      <c r="S15" s="16">
        <f t="shared" si="5"/>
        <v>0</v>
      </c>
      <c r="T15" s="16">
        <f t="shared" si="5"/>
        <v>1132.1999999999998</v>
      </c>
      <c r="U15" s="16">
        <f t="shared" si="5"/>
        <v>6362.4709999999986</v>
      </c>
      <c r="V15" s="64"/>
      <c r="W15" s="64"/>
    </row>
    <row r="16" spans="1:183" ht="42.75" customHeight="1">
      <c r="A16" s="8">
        <v>8</v>
      </c>
      <c r="B16" s="9" t="s">
        <v>24</v>
      </c>
      <c r="C16" s="10">
        <f>'June 2022'!H16</f>
        <v>1747.4919999999993</v>
      </c>
      <c r="D16" s="10">
        <v>8.98</v>
      </c>
      <c r="E16" s="10">
        <f>'June 2022'!E16+'July 2022'!D16</f>
        <v>11.36</v>
      </c>
      <c r="F16" s="10">
        <v>0</v>
      </c>
      <c r="G16" s="10">
        <f>'June 2022'!G16+'July 2022'!F16</f>
        <v>1.5</v>
      </c>
      <c r="H16" s="10">
        <f t="shared" si="0"/>
        <v>1756.4719999999993</v>
      </c>
      <c r="I16" s="10">
        <f>'June 2022'!N16</f>
        <v>111.17000000000002</v>
      </c>
      <c r="J16" s="10">
        <v>0.77</v>
      </c>
      <c r="K16" s="10">
        <f>'June 2022'!K16+'July 2022'!J16</f>
        <v>0.92</v>
      </c>
      <c r="L16" s="10">
        <v>0</v>
      </c>
      <c r="M16" s="10">
        <f>'June 2022'!M16+'July 2022'!L16</f>
        <v>0</v>
      </c>
      <c r="N16" s="10">
        <f t="shared" si="1"/>
        <v>111.94000000000001</v>
      </c>
      <c r="O16" s="11">
        <f>'June 2022'!T16</f>
        <v>113.67899999999999</v>
      </c>
      <c r="P16" s="10">
        <f>3.53+15.75</f>
        <v>19.28</v>
      </c>
      <c r="Q16" s="10">
        <f>'June 2022'!Q16+'July 2022'!P16</f>
        <v>21.560000000000002</v>
      </c>
      <c r="R16" s="10">
        <v>0</v>
      </c>
      <c r="S16" s="10">
        <f>'June 2022'!S16+'July 2022'!R16</f>
        <v>0</v>
      </c>
      <c r="T16" s="11">
        <f t="shared" si="2"/>
        <v>132.959</v>
      </c>
      <c r="U16" s="11">
        <f t="shared" si="3"/>
        <v>2001.3709999999994</v>
      </c>
      <c r="V16" s="12"/>
      <c r="W16" s="12"/>
    </row>
    <row r="17" spans="1:23" ht="57.75" customHeight="1">
      <c r="A17" s="8">
        <v>9</v>
      </c>
      <c r="B17" s="9" t="s">
        <v>25</v>
      </c>
      <c r="C17" s="10">
        <f>'June 2022'!H17</f>
        <v>239.35399999999987</v>
      </c>
      <c r="D17" s="10">
        <v>0</v>
      </c>
      <c r="E17" s="10">
        <f>'June 2022'!E17+'July 2022'!D17</f>
        <v>39.92</v>
      </c>
      <c r="F17" s="10">
        <v>0</v>
      </c>
      <c r="G17" s="10">
        <f>'June 2022'!G17+'July 2022'!F17</f>
        <v>0</v>
      </c>
      <c r="H17" s="10">
        <f t="shared" si="0"/>
        <v>239.35399999999987</v>
      </c>
      <c r="I17" s="10">
        <f>'June 2022'!N17</f>
        <v>25.556999999999995</v>
      </c>
      <c r="J17" s="10">
        <v>0</v>
      </c>
      <c r="K17" s="10">
        <f>'June 2022'!K17+'July 2022'!J17</f>
        <v>4.47</v>
      </c>
      <c r="L17" s="10">
        <v>0</v>
      </c>
      <c r="M17" s="10">
        <f>'June 2022'!M17+'July 2022'!L17</f>
        <v>0.99</v>
      </c>
      <c r="N17" s="10">
        <f t="shared" si="1"/>
        <v>25.556999999999995</v>
      </c>
      <c r="O17" s="11">
        <f>'June 2022'!T17</f>
        <v>392.37100000000004</v>
      </c>
      <c r="P17" s="10">
        <v>15.75</v>
      </c>
      <c r="Q17" s="10">
        <f>'June 2022'!Q17+'July 2022'!P17</f>
        <v>70.81</v>
      </c>
      <c r="R17" s="10">
        <v>0</v>
      </c>
      <c r="S17" s="10">
        <f>'June 2022'!S17+'July 2022'!R17</f>
        <v>70.959999999999994</v>
      </c>
      <c r="T17" s="11">
        <f t="shared" si="2"/>
        <v>408.12100000000004</v>
      </c>
      <c r="U17" s="11">
        <f t="shared" si="3"/>
        <v>673.03199999999993</v>
      </c>
      <c r="V17" s="12"/>
      <c r="W17" s="12"/>
    </row>
    <row r="18" spans="1:23" ht="42.75" customHeight="1">
      <c r="A18" s="8">
        <v>10</v>
      </c>
      <c r="B18" s="9" t="s">
        <v>26</v>
      </c>
      <c r="C18" s="10">
        <f>'June 2022'!H18</f>
        <v>669.86499999999933</v>
      </c>
      <c r="D18" s="10">
        <v>0</v>
      </c>
      <c r="E18" s="10">
        <f>'June 2022'!E18+'July 2022'!D18</f>
        <v>0</v>
      </c>
      <c r="F18" s="10">
        <v>0</v>
      </c>
      <c r="G18" s="10">
        <f>'June 2022'!G18+'July 2022'!F18</f>
        <v>0</v>
      </c>
      <c r="H18" s="10">
        <f t="shared" si="0"/>
        <v>669.86499999999933</v>
      </c>
      <c r="I18" s="10">
        <f>'June 2022'!N18</f>
        <v>17.199999999999989</v>
      </c>
      <c r="J18" s="10">
        <v>0</v>
      </c>
      <c r="K18" s="10">
        <f>'June 2022'!K18+'July 2022'!J18</f>
        <v>0.83</v>
      </c>
      <c r="L18" s="10">
        <v>0</v>
      </c>
      <c r="M18" s="10">
        <f>'June 2022'!M18+'July 2022'!L18</f>
        <v>0</v>
      </c>
      <c r="N18" s="10">
        <f t="shared" si="1"/>
        <v>17.199999999999989</v>
      </c>
      <c r="O18" s="11">
        <f>'June 2022'!T18</f>
        <v>239.428</v>
      </c>
      <c r="P18" s="10">
        <v>0.28000000000000003</v>
      </c>
      <c r="Q18" s="10">
        <f>'June 2022'!Q18+'July 2022'!P18</f>
        <v>44.81</v>
      </c>
      <c r="R18" s="10">
        <v>0</v>
      </c>
      <c r="S18" s="10">
        <f>'June 2022'!S18+'July 2022'!R18</f>
        <v>0</v>
      </c>
      <c r="T18" s="11">
        <f t="shared" si="2"/>
        <v>239.708</v>
      </c>
      <c r="U18" s="11">
        <f t="shared" si="3"/>
        <v>926.77299999999934</v>
      </c>
      <c r="V18" s="12"/>
      <c r="W18" s="12"/>
    </row>
    <row r="19" spans="1:23" s="17" customFormat="1" ht="42.75" customHeight="1">
      <c r="A19" s="14"/>
      <c r="B19" s="15" t="s">
        <v>27</v>
      </c>
      <c r="C19" s="16">
        <f>SUM(C16:C18)</f>
        <v>2656.7109999999984</v>
      </c>
      <c r="D19" s="16">
        <f t="shared" ref="D19:U19" si="6">SUM(D16:D18)</f>
        <v>8.98</v>
      </c>
      <c r="E19" s="16">
        <f t="shared" si="6"/>
        <v>51.28</v>
      </c>
      <c r="F19" s="16">
        <f t="shared" si="6"/>
        <v>0</v>
      </c>
      <c r="G19" s="16">
        <f t="shared" si="6"/>
        <v>1.5</v>
      </c>
      <c r="H19" s="16">
        <f t="shared" si="6"/>
        <v>2665.6909999999984</v>
      </c>
      <c r="I19" s="16">
        <f t="shared" si="6"/>
        <v>153.92699999999999</v>
      </c>
      <c r="J19" s="16">
        <f t="shared" si="6"/>
        <v>0.77</v>
      </c>
      <c r="K19" s="16">
        <f t="shared" si="6"/>
        <v>6.22</v>
      </c>
      <c r="L19" s="16">
        <f t="shared" si="6"/>
        <v>0</v>
      </c>
      <c r="M19" s="16">
        <f t="shared" si="6"/>
        <v>0.99</v>
      </c>
      <c r="N19" s="16">
        <f t="shared" si="6"/>
        <v>154.697</v>
      </c>
      <c r="O19" s="16">
        <f t="shared" si="6"/>
        <v>745.47800000000007</v>
      </c>
      <c r="P19" s="16">
        <f t="shared" si="6"/>
        <v>35.31</v>
      </c>
      <c r="Q19" s="16">
        <f t="shared" si="6"/>
        <v>137.18</v>
      </c>
      <c r="R19" s="16">
        <f t="shared" si="6"/>
        <v>0</v>
      </c>
      <c r="S19" s="16">
        <f t="shared" si="6"/>
        <v>70.959999999999994</v>
      </c>
      <c r="T19" s="16">
        <f t="shared" si="6"/>
        <v>780.78800000000001</v>
      </c>
      <c r="U19" s="16">
        <f t="shared" si="6"/>
        <v>3601.1759999999986</v>
      </c>
      <c r="V19" s="64"/>
      <c r="W19" s="64"/>
    </row>
    <row r="20" spans="1:23" ht="42.75" customHeight="1">
      <c r="A20" s="8">
        <v>11</v>
      </c>
      <c r="B20" s="9" t="s">
        <v>28</v>
      </c>
      <c r="C20" s="10">
        <f>'June 2022'!H20</f>
        <v>1024.3949999999993</v>
      </c>
      <c r="D20" s="10">
        <v>0</v>
      </c>
      <c r="E20" s="10">
        <f>'June 2022'!E20+'July 2022'!D20</f>
        <v>0.85</v>
      </c>
      <c r="F20" s="10">
        <v>0</v>
      </c>
      <c r="G20" s="10">
        <f>'June 2022'!G20+'July 2022'!F20</f>
        <v>180</v>
      </c>
      <c r="H20" s="10">
        <f t="shared" si="0"/>
        <v>1024.3949999999993</v>
      </c>
      <c r="I20" s="10">
        <f>'June 2022'!N20</f>
        <v>153.22100000000003</v>
      </c>
      <c r="J20" s="10">
        <v>0.11</v>
      </c>
      <c r="K20" s="10">
        <f>'June 2022'!K20+'July 2022'!J20</f>
        <v>1.03</v>
      </c>
      <c r="L20" s="10">
        <v>0</v>
      </c>
      <c r="M20" s="10">
        <f>'June 2022'!M20+'July 2022'!L20</f>
        <v>0</v>
      </c>
      <c r="N20" s="10">
        <f t="shared" si="1"/>
        <v>153.33100000000005</v>
      </c>
      <c r="O20" s="11">
        <f>'June 2022'!T20</f>
        <v>690.68099999999993</v>
      </c>
      <c r="P20" s="10">
        <v>25.16</v>
      </c>
      <c r="Q20" s="10">
        <f>'June 2022'!Q20+'July 2022'!P20</f>
        <v>373.91</v>
      </c>
      <c r="R20" s="10">
        <v>0</v>
      </c>
      <c r="S20" s="10">
        <f>'June 2022'!S20+'July 2022'!R20</f>
        <v>0</v>
      </c>
      <c r="T20" s="11">
        <f t="shared" si="2"/>
        <v>715.84099999999989</v>
      </c>
      <c r="U20" s="11">
        <f t="shared" si="3"/>
        <v>1893.5669999999993</v>
      </c>
      <c r="V20" s="12"/>
      <c r="W20" s="12"/>
    </row>
    <row r="21" spans="1:23" ht="42.75" customHeight="1">
      <c r="A21" s="8">
        <v>12</v>
      </c>
      <c r="B21" s="9" t="s">
        <v>29</v>
      </c>
      <c r="C21" s="10">
        <f>'June 2022'!H21</f>
        <v>142.68999999999988</v>
      </c>
      <c r="D21" s="10">
        <v>0</v>
      </c>
      <c r="E21" s="10">
        <f>'June 2022'!E21+'July 2022'!D21</f>
        <v>0</v>
      </c>
      <c r="F21" s="10">
        <v>0</v>
      </c>
      <c r="G21" s="10">
        <f>'June 2022'!G21+'July 2022'!F21</f>
        <v>0</v>
      </c>
      <c r="H21" s="10">
        <f t="shared" si="0"/>
        <v>142.68999999999988</v>
      </c>
      <c r="I21" s="10">
        <f>'June 2022'!N21</f>
        <v>50.483000000000018</v>
      </c>
      <c r="J21" s="10">
        <v>0.09</v>
      </c>
      <c r="K21" s="10">
        <f>'June 2022'!K21+'July 2022'!J21</f>
        <v>0.41000000000000003</v>
      </c>
      <c r="L21" s="10">
        <v>0</v>
      </c>
      <c r="M21" s="10">
        <f>'June 2022'!M21+'July 2022'!L21</f>
        <v>0</v>
      </c>
      <c r="N21" s="10">
        <f t="shared" si="1"/>
        <v>50.573000000000022</v>
      </c>
      <c r="O21" s="11">
        <f>'June 2022'!T21</f>
        <v>266.5</v>
      </c>
      <c r="P21" s="10">
        <v>22.15</v>
      </c>
      <c r="Q21" s="10">
        <f>'June 2022'!Q21+'July 2022'!P21</f>
        <v>22.15</v>
      </c>
      <c r="R21" s="10">
        <v>0</v>
      </c>
      <c r="S21" s="10">
        <f>'June 2022'!S21+'July 2022'!R21</f>
        <v>0</v>
      </c>
      <c r="T21" s="11">
        <f t="shared" si="2"/>
        <v>288.64999999999998</v>
      </c>
      <c r="U21" s="11">
        <f t="shared" si="3"/>
        <v>481.9129999999999</v>
      </c>
      <c r="V21" s="12"/>
      <c r="W21" s="12"/>
    </row>
    <row r="22" spans="1:23" ht="42.75" customHeight="1">
      <c r="A22" s="8">
        <v>13</v>
      </c>
      <c r="B22" s="9" t="s">
        <v>30</v>
      </c>
      <c r="C22" s="10">
        <f>'June 2022'!H22</f>
        <v>27.069999999999879</v>
      </c>
      <c r="D22" s="10">
        <v>0</v>
      </c>
      <c r="E22" s="10">
        <f>'June 2022'!E22+'July 2022'!D22</f>
        <v>0</v>
      </c>
      <c r="F22" s="10">
        <v>0</v>
      </c>
      <c r="G22" s="10">
        <f>'June 2022'!G22+'July 2022'!F22</f>
        <v>0</v>
      </c>
      <c r="H22" s="10">
        <f t="shared" si="0"/>
        <v>27.069999999999879</v>
      </c>
      <c r="I22" s="10">
        <f>'June 2022'!N22</f>
        <v>15.670000000000005</v>
      </c>
      <c r="J22" s="10">
        <v>0.06</v>
      </c>
      <c r="K22" s="10">
        <f>'June 2022'!K22+'July 2022'!J22</f>
        <v>0.13</v>
      </c>
      <c r="L22" s="10">
        <v>0</v>
      </c>
      <c r="M22" s="10">
        <f>'June 2022'!M22+'July 2022'!L22</f>
        <v>0</v>
      </c>
      <c r="N22" s="10">
        <f t="shared" si="1"/>
        <v>15.730000000000006</v>
      </c>
      <c r="O22" s="11">
        <f>'June 2022'!T22</f>
        <v>671.94999999999993</v>
      </c>
      <c r="P22" s="10">
        <f>2.39+12.5</f>
        <v>14.89</v>
      </c>
      <c r="Q22" s="10">
        <f>'June 2022'!Q22+'July 2022'!P22</f>
        <v>15.33</v>
      </c>
      <c r="R22" s="10">
        <v>0</v>
      </c>
      <c r="S22" s="10">
        <f>'June 2022'!S22+'July 2022'!R22</f>
        <v>0</v>
      </c>
      <c r="T22" s="11">
        <f t="shared" si="2"/>
        <v>686.83999999999992</v>
      </c>
      <c r="U22" s="11">
        <f t="shared" si="3"/>
        <v>729.63999999999976</v>
      </c>
      <c r="V22" s="12"/>
      <c r="W22" s="12"/>
    </row>
    <row r="23" spans="1:23" ht="42.75" customHeight="1">
      <c r="A23" s="8">
        <v>14</v>
      </c>
      <c r="B23" s="9" t="s">
        <v>31</v>
      </c>
      <c r="C23" s="10">
        <f>'June 2022'!H23</f>
        <v>1109.8219999999999</v>
      </c>
      <c r="D23" s="10">
        <v>2.56</v>
      </c>
      <c r="E23" s="10">
        <f>'June 2022'!E23+'July 2022'!D23</f>
        <v>14.42</v>
      </c>
      <c r="F23" s="10">
        <v>0</v>
      </c>
      <c r="G23" s="10">
        <f>'June 2022'!G23+'July 2022'!F23</f>
        <v>75</v>
      </c>
      <c r="H23" s="10">
        <f t="shared" si="0"/>
        <v>1112.3819999999998</v>
      </c>
      <c r="I23" s="10">
        <f>'June 2022'!N23</f>
        <v>16.063999999999997</v>
      </c>
      <c r="J23" s="10">
        <v>11.03</v>
      </c>
      <c r="K23" s="10">
        <f>'June 2022'!K23+'July 2022'!J23</f>
        <v>11.799999999999999</v>
      </c>
      <c r="L23" s="10">
        <v>0</v>
      </c>
      <c r="M23" s="10">
        <f>'June 2022'!M23+'July 2022'!L23</f>
        <v>0</v>
      </c>
      <c r="N23" s="10">
        <f t="shared" si="1"/>
        <v>27.093999999999994</v>
      </c>
      <c r="O23" s="11">
        <f>'June 2022'!T23</f>
        <v>314.77499999999998</v>
      </c>
      <c r="P23" s="10">
        <v>75.55</v>
      </c>
      <c r="Q23" s="10">
        <f>'June 2022'!Q23+'July 2022'!P23</f>
        <v>223.04000000000002</v>
      </c>
      <c r="R23" s="10">
        <v>0</v>
      </c>
      <c r="S23" s="10">
        <f>'June 2022'!S23+'July 2022'!R23</f>
        <v>0</v>
      </c>
      <c r="T23" s="11">
        <f t="shared" si="2"/>
        <v>390.32499999999999</v>
      </c>
      <c r="U23" s="11">
        <f t="shared" si="3"/>
        <v>1529.8009999999999</v>
      </c>
      <c r="V23" s="12"/>
      <c r="W23" s="12"/>
    </row>
    <row r="24" spans="1:23" s="17" customFormat="1" ht="42.75" customHeight="1">
      <c r="A24" s="14"/>
      <c r="B24" s="15" t="s">
        <v>32</v>
      </c>
      <c r="C24" s="16">
        <f>SUM(C20:C23)</f>
        <v>2303.976999999999</v>
      </c>
      <c r="D24" s="16">
        <f t="shared" ref="D24:U24" si="7">SUM(D20:D23)</f>
        <v>2.56</v>
      </c>
      <c r="E24" s="16">
        <f t="shared" si="7"/>
        <v>15.27</v>
      </c>
      <c r="F24" s="16">
        <f t="shared" si="7"/>
        <v>0</v>
      </c>
      <c r="G24" s="16">
        <f t="shared" si="7"/>
        <v>255</v>
      </c>
      <c r="H24" s="16">
        <f t="shared" si="7"/>
        <v>2306.5369999999989</v>
      </c>
      <c r="I24" s="16">
        <f t="shared" si="7"/>
        <v>235.43800000000007</v>
      </c>
      <c r="J24" s="16">
        <f t="shared" si="7"/>
        <v>11.29</v>
      </c>
      <c r="K24" s="16">
        <f t="shared" si="7"/>
        <v>13.37</v>
      </c>
      <c r="L24" s="16">
        <f t="shared" si="7"/>
        <v>0</v>
      </c>
      <c r="M24" s="16">
        <f t="shared" si="7"/>
        <v>0</v>
      </c>
      <c r="N24" s="16">
        <f t="shared" si="7"/>
        <v>246.72800000000007</v>
      </c>
      <c r="O24" s="16">
        <f t="shared" si="7"/>
        <v>1943.9059999999999</v>
      </c>
      <c r="P24" s="16">
        <f t="shared" si="7"/>
        <v>137.75</v>
      </c>
      <c r="Q24" s="16">
        <f t="shared" si="7"/>
        <v>634.43000000000006</v>
      </c>
      <c r="R24" s="16">
        <f t="shared" si="7"/>
        <v>0</v>
      </c>
      <c r="S24" s="16">
        <f t="shared" si="7"/>
        <v>0</v>
      </c>
      <c r="T24" s="16">
        <f t="shared" si="7"/>
        <v>2081.6559999999995</v>
      </c>
      <c r="U24" s="16">
        <f t="shared" si="7"/>
        <v>4634.9209999999985</v>
      </c>
      <c r="V24" s="64"/>
      <c r="W24" s="64"/>
    </row>
    <row r="25" spans="1:23" s="17" customFormat="1" ht="42.75" customHeight="1">
      <c r="A25" s="14"/>
      <c r="B25" s="15" t="s">
        <v>33</v>
      </c>
      <c r="C25" s="16">
        <f>C24+C19+C15+C11</f>
        <v>11082.912999999995</v>
      </c>
      <c r="D25" s="16">
        <f t="shared" ref="D25:U25" si="8">D24+D19+D15+D11</f>
        <v>11.63</v>
      </c>
      <c r="E25" s="16">
        <f t="shared" si="8"/>
        <v>114.55</v>
      </c>
      <c r="F25" s="16">
        <f t="shared" si="8"/>
        <v>66.989999999999995</v>
      </c>
      <c r="G25" s="16">
        <f t="shared" si="8"/>
        <v>413.49</v>
      </c>
      <c r="H25" s="16">
        <f t="shared" si="8"/>
        <v>11027.552999999996</v>
      </c>
      <c r="I25" s="16">
        <f t="shared" si="8"/>
        <v>1455.5500000000002</v>
      </c>
      <c r="J25" s="16">
        <f t="shared" si="8"/>
        <v>42.36</v>
      </c>
      <c r="K25" s="16">
        <f t="shared" si="8"/>
        <v>62.072000000000003</v>
      </c>
      <c r="L25" s="16">
        <f t="shared" si="8"/>
        <v>0.76</v>
      </c>
      <c r="M25" s="16">
        <f t="shared" si="8"/>
        <v>1.75</v>
      </c>
      <c r="N25" s="16">
        <f t="shared" si="8"/>
        <v>1497.15</v>
      </c>
      <c r="O25" s="16">
        <f t="shared" si="8"/>
        <v>4669.2539999999999</v>
      </c>
      <c r="P25" s="16">
        <f t="shared" si="8"/>
        <v>223.69</v>
      </c>
      <c r="Q25" s="16">
        <f t="shared" si="8"/>
        <v>938.58000000000015</v>
      </c>
      <c r="R25" s="16">
        <f t="shared" si="8"/>
        <v>0</v>
      </c>
      <c r="S25" s="16">
        <f t="shared" si="8"/>
        <v>70.959999999999994</v>
      </c>
      <c r="T25" s="16">
        <f t="shared" si="8"/>
        <v>4892.9439999999995</v>
      </c>
      <c r="U25" s="16">
        <f t="shared" si="8"/>
        <v>17417.646999999997</v>
      </c>
      <c r="V25" s="64"/>
      <c r="W25" s="64"/>
    </row>
    <row r="26" spans="1:23" ht="42.75" customHeight="1">
      <c r="A26" s="8">
        <v>15</v>
      </c>
      <c r="B26" s="9" t="s">
        <v>34</v>
      </c>
      <c r="C26" s="10">
        <f>'June 2022'!H26</f>
        <v>1193.2819999999992</v>
      </c>
      <c r="D26" s="10">
        <v>1.68</v>
      </c>
      <c r="E26" s="10">
        <f>'June 2022'!E26+'July 2022'!D26</f>
        <v>11.319999999999999</v>
      </c>
      <c r="F26" s="10">
        <v>0</v>
      </c>
      <c r="G26" s="10">
        <f>'June 2022'!G26+'July 2022'!F26</f>
        <v>0</v>
      </c>
      <c r="H26" s="10">
        <f t="shared" si="0"/>
        <v>1194.9619999999993</v>
      </c>
      <c r="I26" s="10">
        <f>'June 2022'!N26</f>
        <v>0</v>
      </c>
      <c r="J26" s="10">
        <v>0.04</v>
      </c>
      <c r="K26" s="10">
        <f>'June 2022'!K26+'July 2022'!J26</f>
        <v>0.04</v>
      </c>
      <c r="L26" s="10">
        <v>0</v>
      </c>
      <c r="M26" s="10">
        <f>'June 2022'!M26+'July 2022'!L26</f>
        <v>0</v>
      </c>
      <c r="N26" s="67">
        <f t="shared" si="1"/>
        <v>0.04</v>
      </c>
      <c r="O26" s="11">
        <f>'June 2022'!T26</f>
        <v>165.81</v>
      </c>
      <c r="P26" s="10">
        <v>0</v>
      </c>
      <c r="Q26" s="10">
        <f>'June 2022'!Q26+'July 2022'!P26</f>
        <v>36.43</v>
      </c>
      <c r="R26" s="10">
        <v>0</v>
      </c>
      <c r="S26" s="10">
        <f>'June 2022'!S26+'July 2022'!R26</f>
        <v>0.18</v>
      </c>
      <c r="T26" s="11">
        <f t="shared" si="2"/>
        <v>165.81</v>
      </c>
      <c r="U26" s="11">
        <f t="shared" si="3"/>
        <v>1360.8119999999992</v>
      </c>
      <c r="V26" s="115"/>
      <c r="W26" s="12"/>
    </row>
    <row r="27" spans="1:23" ht="42.75" customHeight="1">
      <c r="A27" s="8">
        <v>16</v>
      </c>
      <c r="B27" s="9" t="s">
        <v>67</v>
      </c>
      <c r="C27" s="10">
        <f>'June 2022'!H27</f>
        <v>10332.326999999992</v>
      </c>
      <c r="D27" s="10">
        <v>10.24</v>
      </c>
      <c r="E27" s="10">
        <f>'June 2022'!E27+'July 2022'!D27</f>
        <v>44.38</v>
      </c>
      <c r="F27" s="10">
        <v>0</v>
      </c>
      <c r="G27" s="10">
        <f>'June 2022'!G27+'July 2022'!F27</f>
        <v>0</v>
      </c>
      <c r="H27" s="10">
        <f t="shared" si="0"/>
        <v>10342.566999999992</v>
      </c>
      <c r="I27" s="10">
        <f>'June 2022'!N27</f>
        <v>390.96499999999997</v>
      </c>
      <c r="J27" s="10">
        <v>2.82</v>
      </c>
      <c r="K27" s="10">
        <f>'June 2022'!K27+'July 2022'!J27</f>
        <v>8.75</v>
      </c>
      <c r="L27" s="10">
        <v>0</v>
      </c>
      <c r="M27" s="10">
        <f>'June 2022'!M27+'July 2022'!L27</f>
        <v>0</v>
      </c>
      <c r="N27" s="10">
        <f t="shared" si="1"/>
        <v>393.78499999999997</v>
      </c>
      <c r="O27" s="11">
        <f>'June 2022'!T27</f>
        <v>30.140000000000008</v>
      </c>
      <c r="P27" s="10">
        <v>3.52</v>
      </c>
      <c r="Q27" s="10">
        <f>'June 2022'!Q27+'July 2022'!P27</f>
        <v>3.52</v>
      </c>
      <c r="R27" s="10">
        <v>0</v>
      </c>
      <c r="S27" s="10">
        <f>'June 2022'!S27+'July 2022'!R27</f>
        <v>45.21</v>
      </c>
      <c r="T27" s="11">
        <f t="shared" si="2"/>
        <v>33.660000000000011</v>
      </c>
      <c r="U27" s="11">
        <f t="shared" si="3"/>
        <v>10770.011999999992</v>
      </c>
      <c r="V27" s="115"/>
      <c r="W27" s="12"/>
    </row>
    <row r="28" spans="1:23" s="17" customFormat="1" ht="42.75" customHeight="1">
      <c r="A28" s="14"/>
      <c r="B28" s="15" t="s">
        <v>35</v>
      </c>
      <c r="C28" s="16">
        <f>SUM(C26:C27)</f>
        <v>11525.608999999991</v>
      </c>
      <c r="D28" s="16">
        <f t="shared" ref="D28:U28" si="9">SUM(D26:D27)</f>
        <v>11.92</v>
      </c>
      <c r="E28" s="16">
        <f t="shared" si="9"/>
        <v>55.7</v>
      </c>
      <c r="F28" s="16">
        <f t="shared" si="9"/>
        <v>0</v>
      </c>
      <c r="G28" s="16">
        <f t="shared" si="9"/>
        <v>0</v>
      </c>
      <c r="H28" s="16">
        <f t="shared" si="9"/>
        <v>11537.528999999991</v>
      </c>
      <c r="I28" s="16">
        <f t="shared" si="9"/>
        <v>390.96499999999997</v>
      </c>
      <c r="J28" s="16">
        <f t="shared" si="9"/>
        <v>2.86</v>
      </c>
      <c r="K28" s="16">
        <f t="shared" si="9"/>
        <v>8.7899999999999991</v>
      </c>
      <c r="L28" s="16">
        <f t="shared" si="9"/>
        <v>0</v>
      </c>
      <c r="M28" s="16">
        <f t="shared" si="9"/>
        <v>0</v>
      </c>
      <c r="N28" s="16">
        <f t="shared" si="9"/>
        <v>393.82499999999999</v>
      </c>
      <c r="O28" s="16">
        <f t="shared" si="9"/>
        <v>195.95000000000002</v>
      </c>
      <c r="P28" s="16">
        <f t="shared" si="9"/>
        <v>3.52</v>
      </c>
      <c r="Q28" s="16">
        <f t="shared" si="9"/>
        <v>39.950000000000003</v>
      </c>
      <c r="R28" s="16">
        <f t="shared" si="9"/>
        <v>0</v>
      </c>
      <c r="S28" s="16">
        <f t="shared" si="9"/>
        <v>45.39</v>
      </c>
      <c r="T28" s="16">
        <f t="shared" si="9"/>
        <v>199.47000000000003</v>
      </c>
      <c r="U28" s="16">
        <f t="shared" si="9"/>
        <v>12130.823999999991</v>
      </c>
      <c r="V28" s="64"/>
      <c r="W28" s="64"/>
    </row>
    <row r="29" spans="1:23" ht="42.75" customHeight="1">
      <c r="A29" s="8">
        <v>17</v>
      </c>
      <c r="B29" s="9" t="s">
        <v>36</v>
      </c>
      <c r="C29" s="10">
        <f>'June 2022'!H29</f>
        <v>4433.1830000000009</v>
      </c>
      <c r="D29" s="10">
        <v>5.77</v>
      </c>
      <c r="E29" s="10">
        <f>'June 2022'!E29+'July 2022'!D29</f>
        <v>37.340000000000003</v>
      </c>
      <c r="F29" s="10">
        <v>0</v>
      </c>
      <c r="G29" s="10">
        <f>'June 2022'!G29+'July 2022'!F29</f>
        <v>0</v>
      </c>
      <c r="H29" s="10">
        <f t="shared" si="0"/>
        <v>4438.9530000000013</v>
      </c>
      <c r="I29" s="10">
        <f>'June 2022'!N29</f>
        <v>109.35</v>
      </c>
      <c r="J29" s="10">
        <v>18.37</v>
      </c>
      <c r="K29" s="10">
        <f>'June 2022'!K29+'July 2022'!J29</f>
        <v>56.03</v>
      </c>
      <c r="L29" s="10">
        <v>0</v>
      </c>
      <c r="M29" s="10">
        <f>'June 2022'!M29+'July 2022'!L29</f>
        <v>0</v>
      </c>
      <c r="N29" s="10">
        <f t="shared" si="1"/>
        <v>127.72</v>
      </c>
      <c r="O29" s="11">
        <f>'June 2022'!T29</f>
        <v>138.08000000000001</v>
      </c>
      <c r="P29" s="10">
        <v>0</v>
      </c>
      <c r="Q29" s="10">
        <f>'June 2022'!Q29+'July 2022'!P29</f>
        <v>0</v>
      </c>
      <c r="R29" s="10">
        <v>0</v>
      </c>
      <c r="S29" s="10">
        <f>'June 2022'!S29+'July 2022'!R29</f>
        <v>0</v>
      </c>
      <c r="T29" s="11">
        <f t="shared" si="2"/>
        <v>138.08000000000001</v>
      </c>
      <c r="U29" s="11">
        <f t="shared" si="3"/>
        <v>4704.7530000000015</v>
      </c>
      <c r="V29" s="12"/>
      <c r="W29" s="12"/>
    </row>
    <row r="30" spans="1:23" ht="42.75" customHeight="1">
      <c r="A30" s="8">
        <v>18</v>
      </c>
      <c r="B30" s="9" t="s">
        <v>37</v>
      </c>
      <c r="C30" s="10">
        <f>'June 2022'!H30</f>
        <v>6206.3940000000021</v>
      </c>
      <c r="D30" s="10">
        <v>3.49</v>
      </c>
      <c r="E30" s="10">
        <f>'June 2022'!E30+'July 2022'!D30</f>
        <v>34.54</v>
      </c>
      <c r="F30" s="10">
        <v>0</v>
      </c>
      <c r="G30" s="10">
        <f>'June 2022'!G30+'July 2022'!F30</f>
        <v>0</v>
      </c>
      <c r="H30" s="10">
        <f t="shared" si="0"/>
        <v>6209.8840000000018</v>
      </c>
      <c r="I30" s="10">
        <f>'June 2022'!N30</f>
        <v>23.6</v>
      </c>
      <c r="J30" s="10">
        <v>13.4</v>
      </c>
      <c r="K30" s="10">
        <f>'June 2022'!K30+'July 2022'!J30</f>
        <v>37</v>
      </c>
      <c r="L30" s="10">
        <v>0</v>
      </c>
      <c r="M30" s="10">
        <f>'June 2022'!M30+'July 2022'!L30</f>
        <v>0</v>
      </c>
      <c r="N30" s="10">
        <f t="shared" si="1"/>
        <v>37</v>
      </c>
      <c r="O30" s="11">
        <f>'June 2022'!T30</f>
        <v>0.22</v>
      </c>
      <c r="P30" s="10">
        <v>0</v>
      </c>
      <c r="Q30" s="10">
        <f>'June 2022'!Q30+'July 2022'!P30</f>
        <v>0</v>
      </c>
      <c r="R30" s="10">
        <v>0</v>
      </c>
      <c r="S30" s="10">
        <f>'June 2022'!S30+'July 2022'!R30</f>
        <v>0</v>
      </c>
      <c r="T30" s="11">
        <f t="shared" si="2"/>
        <v>0.22</v>
      </c>
      <c r="U30" s="11">
        <f t="shared" si="3"/>
        <v>6247.1040000000021</v>
      </c>
      <c r="V30" s="12"/>
      <c r="W30" s="12"/>
    </row>
    <row r="31" spans="1:23" ht="42.75" customHeight="1">
      <c r="A31" s="8">
        <v>19</v>
      </c>
      <c r="B31" s="9" t="s">
        <v>38</v>
      </c>
      <c r="C31" s="10">
        <f>'June 2022'!H31</f>
        <v>3081.3979999999992</v>
      </c>
      <c r="D31" s="10">
        <v>8.7200000000000006</v>
      </c>
      <c r="E31" s="10">
        <f>'June 2022'!E31+'July 2022'!D31</f>
        <v>19.435000000000002</v>
      </c>
      <c r="F31" s="10">
        <v>0</v>
      </c>
      <c r="G31" s="10">
        <f>'June 2022'!G31+'July 2022'!F31</f>
        <v>3.38</v>
      </c>
      <c r="H31" s="10">
        <f t="shared" si="0"/>
        <v>3090.117999999999</v>
      </c>
      <c r="I31" s="10">
        <f>'June 2022'!N31</f>
        <v>50.180000000000007</v>
      </c>
      <c r="J31" s="10">
        <v>0</v>
      </c>
      <c r="K31" s="10">
        <f>'June 2022'!K31+'July 2022'!J31</f>
        <v>47.02</v>
      </c>
      <c r="L31" s="10">
        <v>0</v>
      </c>
      <c r="M31" s="10">
        <f>'June 2022'!M31+'July 2022'!L31</f>
        <v>0</v>
      </c>
      <c r="N31" s="10">
        <f t="shared" si="1"/>
        <v>50.180000000000007</v>
      </c>
      <c r="O31" s="11">
        <f>'June 2022'!T31</f>
        <v>128.47999999999999</v>
      </c>
      <c r="P31" s="10">
        <v>0</v>
      </c>
      <c r="Q31" s="10">
        <f>'June 2022'!Q31+'July 2022'!P31</f>
        <v>0</v>
      </c>
      <c r="R31" s="10">
        <v>0</v>
      </c>
      <c r="S31" s="10">
        <f>'June 2022'!S31+'July 2022'!R31</f>
        <v>0</v>
      </c>
      <c r="T31" s="11">
        <f t="shared" si="2"/>
        <v>128.47999999999999</v>
      </c>
      <c r="U31" s="11">
        <f t="shared" si="3"/>
        <v>3268.7779999999989</v>
      </c>
      <c r="V31" s="12"/>
      <c r="W31" s="12"/>
    </row>
    <row r="32" spans="1:23" ht="42.75" customHeight="1">
      <c r="A32" s="8">
        <v>20</v>
      </c>
      <c r="B32" s="9" t="s">
        <v>39</v>
      </c>
      <c r="C32" s="10">
        <f>'June 2022'!H32</f>
        <v>4377.95</v>
      </c>
      <c r="D32" s="10">
        <v>1.79</v>
      </c>
      <c r="E32" s="10">
        <f>'June 2022'!E32+'July 2022'!D32</f>
        <v>11.059999999999999</v>
      </c>
      <c r="F32" s="10">
        <v>0</v>
      </c>
      <c r="G32" s="10">
        <f>'June 2022'!G32+'July 2022'!F32</f>
        <v>0</v>
      </c>
      <c r="H32" s="10">
        <f t="shared" si="0"/>
        <v>4379.74</v>
      </c>
      <c r="I32" s="10">
        <f>'June 2022'!N32</f>
        <v>158.5</v>
      </c>
      <c r="J32" s="10">
        <f>0.58+15.24</f>
        <v>15.82</v>
      </c>
      <c r="K32" s="10">
        <f>'June 2022'!K32+'July 2022'!J32</f>
        <v>40.480000000000004</v>
      </c>
      <c r="L32" s="10">
        <v>0</v>
      </c>
      <c r="M32" s="10">
        <f>'June 2022'!M32+'July 2022'!L32</f>
        <v>0</v>
      </c>
      <c r="N32" s="10">
        <f t="shared" si="1"/>
        <v>174.32</v>
      </c>
      <c r="O32" s="11">
        <f>'June 2022'!T32</f>
        <v>243.63999999999996</v>
      </c>
      <c r="P32" s="10">
        <v>0.01</v>
      </c>
      <c r="Q32" s="10">
        <f>'June 2022'!Q32+'July 2022'!P32</f>
        <v>0.01</v>
      </c>
      <c r="R32" s="10">
        <v>0</v>
      </c>
      <c r="S32" s="10">
        <f>'June 2022'!S32+'July 2022'!R32</f>
        <v>27.41</v>
      </c>
      <c r="T32" s="68">
        <f t="shared" si="2"/>
        <v>243.64999999999995</v>
      </c>
      <c r="U32" s="11">
        <f t="shared" si="3"/>
        <v>4797.7099999999991</v>
      </c>
      <c r="V32" s="12"/>
      <c r="W32" s="12"/>
    </row>
    <row r="33" spans="1:23" s="17" customFormat="1" ht="42.75" customHeight="1">
      <c r="A33" s="14"/>
      <c r="B33" s="15" t="s">
        <v>68</v>
      </c>
      <c r="C33" s="16">
        <f>SUM(C29:C32)</f>
        <v>18098.925000000003</v>
      </c>
      <c r="D33" s="16">
        <f t="shared" ref="D33:U33" si="10">SUM(D29:D32)</f>
        <v>19.77</v>
      </c>
      <c r="E33" s="16">
        <f t="shared" si="10"/>
        <v>102.375</v>
      </c>
      <c r="F33" s="16">
        <f t="shared" si="10"/>
        <v>0</v>
      </c>
      <c r="G33" s="16">
        <f t="shared" si="10"/>
        <v>3.38</v>
      </c>
      <c r="H33" s="16">
        <f t="shared" si="10"/>
        <v>18118.695</v>
      </c>
      <c r="I33" s="16">
        <f t="shared" si="10"/>
        <v>341.63</v>
      </c>
      <c r="J33" s="16">
        <f t="shared" si="10"/>
        <v>47.59</v>
      </c>
      <c r="K33" s="16">
        <f t="shared" si="10"/>
        <v>180.53000000000003</v>
      </c>
      <c r="L33" s="16">
        <f t="shared" si="10"/>
        <v>0</v>
      </c>
      <c r="M33" s="16">
        <f t="shared" si="10"/>
        <v>0</v>
      </c>
      <c r="N33" s="16">
        <f t="shared" si="10"/>
        <v>389.22</v>
      </c>
      <c r="O33" s="16">
        <f t="shared" si="10"/>
        <v>510.41999999999996</v>
      </c>
      <c r="P33" s="16">
        <f t="shared" si="10"/>
        <v>0.01</v>
      </c>
      <c r="Q33" s="16">
        <f t="shared" si="10"/>
        <v>0.01</v>
      </c>
      <c r="R33" s="16">
        <f t="shared" si="10"/>
        <v>0</v>
      </c>
      <c r="S33" s="16">
        <f t="shared" si="10"/>
        <v>27.41</v>
      </c>
      <c r="T33" s="16">
        <f t="shared" si="10"/>
        <v>510.42999999999995</v>
      </c>
      <c r="U33" s="16">
        <f t="shared" si="10"/>
        <v>19018.345000000001</v>
      </c>
      <c r="V33" s="64"/>
      <c r="W33" s="64"/>
    </row>
    <row r="34" spans="1:23" ht="42.75" customHeight="1">
      <c r="A34" s="8">
        <v>21</v>
      </c>
      <c r="B34" s="9" t="s">
        <v>40</v>
      </c>
      <c r="C34" s="10">
        <f>'June 2022'!H34</f>
        <v>5895.0600000000013</v>
      </c>
      <c r="D34" s="10">
        <v>9.68</v>
      </c>
      <c r="E34" s="10">
        <f>'June 2022'!E34+'July 2022'!D34</f>
        <v>38.629999999999995</v>
      </c>
      <c r="F34" s="10">
        <v>0</v>
      </c>
      <c r="G34" s="10">
        <f>'June 2022'!G34+'July 2022'!F34</f>
        <v>0</v>
      </c>
      <c r="H34" s="10">
        <f t="shared" si="0"/>
        <v>5904.7400000000016</v>
      </c>
      <c r="I34" s="10">
        <f>'June 2022'!N34</f>
        <v>2</v>
      </c>
      <c r="J34" s="10">
        <v>0</v>
      </c>
      <c r="K34" s="10">
        <f>'June 2022'!K34+'July 2022'!J34</f>
        <v>2</v>
      </c>
      <c r="L34" s="10">
        <v>0</v>
      </c>
      <c r="M34" s="10">
        <f>'June 2022'!M34+'July 2022'!L34</f>
        <v>0</v>
      </c>
      <c r="N34" s="10">
        <f t="shared" si="1"/>
        <v>2</v>
      </c>
      <c r="O34" s="11">
        <f>'June 2022'!T34</f>
        <v>38.700000000000003</v>
      </c>
      <c r="P34" s="10">
        <v>0</v>
      </c>
      <c r="Q34" s="10">
        <f>'June 2022'!Q34+'July 2022'!P34</f>
        <v>38.700000000000003</v>
      </c>
      <c r="R34" s="10">
        <v>0</v>
      </c>
      <c r="S34" s="10">
        <f>'June 2022'!S34+'July 2022'!R34</f>
        <v>0</v>
      </c>
      <c r="T34" s="11">
        <f t="shared" si="2"/>
        <v>38.700000000000003</v>
      </c>
      <c r="U34" s="11">
        <f t="shared" si="3"/>
        <v>5945.4400000000014</v>
      </c>
      <c r="V34" s="18"/>
      <c r="W34" s="18"/>
    </row>
    <row r="35" spans="1:23" ht="42.75" customHeight="1">
      <c r="A35" s="8">
        <v>22</v>
      </c>
      <c r="B35" s="9" t="s">
        <v>41</v>
      </c>
      <c r="C35" s="10">
        <f>'June 2022'!H35</f>
        <v>4663.1650000000009</v>
      </c>
      <c r="D35" s="10">
        <v>11.79</v>
      </c>
      <c r="E35" s="10">
        <f>'June 2022'!E35+'July 2022'!D35</f>
        <v>50.05</v>
      </c>
      <c r="F35" s="10">
        <v>0</v>
      </c>
      <c r="G35" s="10">
        <f>'June 2022'!G35+'July 2022'!F35</f>
        <v>0</v>
      </c>
      <c r="H35" s="10">
        <f t="shared" si="0"/>
        <v>4674.9550000000008</v>
      </c>
      <c r="I35" s="10">
        <f>'June 2022'!N35</f>
        <v>0.1</v>
      </c>
      <c r="J35" s="10">
        <v>0</v>
      </c>
      <c r="K35" s="10">
        <f>'June 2022'!K35+'July 2022'!J35</f>
        <v>0</v>
      </c>
      <c r="L35" s="10">
        <v>0</v>
      </c>
      <c r="M35" s="10">
        <f>'June 2022'!M35+'July 2022'!L35</f>
        <v>0</v>
      </c>
      <c r="N35" s="10">
        <f t="shared" si="1"/>
        <v>0.1</v>
      </c>
      <c r="O35" s="11">
        <f>'June 2022'!T35</f>
        <v>16.43</v>
      </c>
      <c r="P35" s="10">
        <v>0</v>
      </c>
      <c r="Q35" s="10">
        <f>'June 2022'!Q35+'July 2022'!P35</f>
        <v>0</v>
      </c>
      <c r="R35" s="10">
        <v>0</v>
      </c>
      <c r="S35" s="10">
        <f>'June 2022'!S35+'July 2022'!R35</f>
        <v>0</v>
      </c>
      <c r="T35" s="11">
        <f t="shared" si="2"/>
        <v>16.43</v>
      </c>
      <c r="U35" s="11">
        <f t="shared" si="3"/>
        <v>4691.4850000000015</v>
      </c>
      <c r="V35" s="18"/>
      <c r="W35" s="18"/>
    </row>
    <row r="36" spans="1:23" ht="42.75" customHeight="1">
      <c r="A36" s="8">
        <v>23</v>
      </c>
      <c r="B36" s="9" t="s">
        <v>42</v>
      </c>
      <c r="C36" s="10">
        <f>'June 2022'!H36</f>
        <v>19368.120000000003</v>
      </c>
      <c r="D36" s="10">
        <v>0</v>
      </c>
      <c r="E36" s="10">
        <f>'June 2022'!E36+'July 2022'!D36</f>
        <v>1.25</v>
      </c>
      <c r="F36" s="10">
        <v>0</v>
      </c>
      <c r="G36" s="10">
        <f>'June 2022'!G36+'July 2022'!F36</f>
        <v>0</v>
      </c>
      <c r="H36" s="10">
        <f t="shared" si="0"/>
        <v>19368.120000000003</v>
      </c>
      <c r="I36" s="10">
        <f>'June 2022'!N36</f>
        <v>8.5</v>
      </c>
      <c r="J36" s="10">
        <v>0</v>
      </c>
      <c r="K36" s="10">
        <f>'June 2022'!K36+'July 2022'!J36</f>
        <v>0</v>
      </c>
      <c r="L36" s="10">
        <v>0</v>
      </c>
      <c r="M36" s="10">
        <f>'June 2022'!M36+'July 2022'!L36</f>
        <v>0</v>
      </c>
      <c r="N36" s="10">
        <f t="shared" si="1"/>
        <v>8.5</v>
      </c>
      <c r="O36" s="11">
        <f>'June 2022'!T36</f>
        <v>0</v>
      </c>
      <c r="P36" s="10">
        <v>36.19</v>
      </c>
      <c r="Q36" s="10">
        <f>'June 2022'!Q36+'July 2022'!P36</f>
        <v>36.19</v>
      </c>
      <c r="R36" s="10">
        <v>0</v>
      </c>
      <c r="S36" s="10">
        <f>'June 2022'!S36+'July 2022'!R36</f>
        <v>0</v>
      </c>
      <c r="T36" s="11">
        <f t="shared" si="2"/>
        <v>36.19</v>
      </c>
      <c r="U36" s="11">
        <f t="shared" si="3"/>
        <v>19412.810000000001</v>
      </c>
      <c r="V36" s="18"/>
      <c r="W36" s="18"/>
    </row>
    <row r="37" spans="1:23" ht="42.75" customHeight="1">
      <c r="A37" s="8">
        <v>24</v>
      </c>
      <c r="B37" s="9" t="s">
        <v>43</v>
      </c>
      <c r="C37" s="10">
        <f>'June 2022'!H37</f>
        <v>7011.3999999999987</v>
      </c>
      <c r="D37" s="10">
        <v>0.66</v>
      </c>
      <c r="E37" s="10">
        <f>'June 2022'!E37+'July 2022'!D37</f>
        <v>4.46</v>
      </c>
      <c r="F37" s="10">
        <v>0</v>
      </c>
      <c r="G37" s="10">
        <f>'June 2022'!G37+'July 2022'!F37</f>
        <v>0</v>
      </c>
      <c r="H37" s="10">
        <f t="shared" si="0"/>
        <v>7012.0599999999986</v>
      </c>
      <c r="I37" s="10">
        <f>'June 2022'!N37</f>
        <v>0</v>
      </c>
      <c r="J37" s="10">
        <v>0</v>
      </c>
      <c r="K37" s="10">
        <f>'June 2022'!K37+'July 2022'!J37</f>
        <v>0</v>
      </c>
      <c r="L37" s="10">
        <v>0</v>
      </c>
      <c r="M37" s="10">
        <f>'June 2022'!M37+'July 2022'!L37</f>
        <v>0</v>
      </c>
      <c r="N37" s="10">
        <f t="shared" si="1"/>
        <v>0</v>
      </c>
      <c r="O37" s="11">
        <f>'June 2022'!T37</f>
        <v>3.1</v>
      </c>
      <c r="P37" s="10">
        <v>0</v>
      </c>
      <c r="Q37" s="10">
        <f>'June 2022'!Q37+'July 2022'!P37</f>
        <v>0</v>
      </c>
      <c r="R37" s="10">
        <v>0</v>
      </c>
      <c r="S37" s="10">
        <f>'June 2022'!S37+'July 2022'!R37</f>
        <v>0</v>
      </c>
      <c r="T37" s="11">
        <f t="shared" si="2"/>
        <v>3.1</v>
      </c>
      <c r="U37" s="11">
        <f t="shared" si="3"/>
        <v>7015.1599999999989</v>
      </c>
      <c r="V37" s="18"/>
      <c r="W37" s="18"/>
    </row>
    <row r="38" spans="1:23" s="17" customFormat="1" ht="42.75" customHeight="1">
      <c r="A38" s="14"/>
      <c r="B38" s="15" t="s">
        <v>44</v>
      </c>
      <c r="C38" s="16">
        <f>SUM(C34:C37)</f>
        <v>36937.745000000003</v>
      </c>
      <c r="D38" s="16">
        <f t="shared" ref="D38:U38" si="11">SUM(D34:D37)</f>
        <v>22.13</v>
      </c>
      <c r="E38" s="16">
        <f t="shared" si="11"/>
        <v>94.389999999999986</v>
      </c>
      <c r="F38" s="16">
        <f t="shared" si="11"/>
        <v>0</v>
      </c>
      <c r="G38" s="16">
        <f t="shared" si="11"/>
        <v>0</v>
      </c>
      <c r="H38" s="16">
        <f t="shared" si="11"/>
        <v>36959.875000000007</v>
      </c>
      <c r="I38" s="16">
        <f t="shared" si="11"/>
        <v>10.6</v>
      </c>
      <c r="J38" s="16">
        <f t="shared" si="11"/>
        <v>0</v>
      </c>
      <c r="K38" s="16">
        <f t="shared" si="11"/>
        <v>2</v>
      </c>
      <c r="L38" s="16">
        <f t="shared" si="11"/>
        <v>0</v>
      </c>
      <c r="M38" s="16">
        <f t="shared" si="11"/>
        <v>0</v>
      </c>
      <c r="N38" s="16">
        <f t="shared" si="11"/>
        <v>10.6</v>
      </c>
      <c r="O38" s="16">
        <f t="shared" si="11"/>
        <v>58.230000000000004</v>
      </c>
      <c r="P38" s="16">
        <f t="shared" si="11"/>
        <v>36.19</v>
      </c>
      <c r="Q38" s="16">
        <f t="shared" si="11"/>
        <v>74.89</v>
      </c>
      <c r="R38" s="16">
        <f t="shared" si="11"/>
        <v>0</v>
      </c>
      <c r="S38" s="16">
        <f t="shared" si="11"/>
        <v>0</v>
      </c>
      <c r="T38" s="16">
        <f t="shared" si="11"/>
        <v>94.419999999999987</v>
      </c>
      <c r="U38" s="16">
        <f t="shared" si="11"/>
        <v>37064.895000000004</v>
      </c>
      <c r="V38" s="64"/>
      <c r="W38" s="64"/>
    </row>
    <row r="39" spans="1:23" s="17" customFormat="1" ht="42.75" customHeight="1">
      <c r="A39" s="14"/>
      <c r="B39" s="15" t="s">
        <v>45</v>
      </c>
      <c r="C39" s="16">
        <f>C38+C33+C28</f>
        <v>66562.278999999995</v>
      </c>
      <c r="D39" s="16">
        <f t="shared" ref="D39:U39" si="12">D38+D33+D28</f>
        <v>53.82</v>
      </c>
      <c r="E39" s="16">
        <f t="shared" si="12"/>
        <v>252.46499999999997</v>
      </c>
      <c r="F39" s="16">
        <f t="shared" si="12"/>
        <v>0</v>
      </c>
      <c r="G39" s="16">
        <f t="shared" si="12"/>
        <v>3.38</v>
      </c>
      <c r="H39" s="16">
        <f t="shared" si="12"/>
        <v>66616.099000000002</v>
      </c>
      <c r="I39" s="16">
        <f t="shared" si="12"/>
        <v>743.19499999999994</v>
      </c>
      <c r="J39" s="16">
        <f t="shared" si="12"/>
        <v>50.45</v>
      </c>
      <c r="K39" s="16">
        <f t="shared" si="12"/>
        <v>191.32000000000002</v>
      </c>
      <c r="L39" s="16">
        <f t="shared" si="12"/>
        <v>0</v>
      </c>
      <c r="M39" s="16">
        <f t="shared" si="12"/>
        <v>0</v>
      </c>
      <c r="N39" s="16">
        <f t="shared" si="12"/>
        <v>793.64499999999998</v>
      </c>
      <c r="O39" s="16">
        <f t="shared" si="12"/>
        <v>764.6</v>
      </c>
      <c r="P39" s="16">
        <f t="shared" si="12"/>
        <v>39.72</v>
      </c>
      <c r="Q39" s="16">
        <f t="shared" si="12"/>
        <v>114.85000000000001</v>
      </c>
      <c r="R39" s="16">
        <f t="shared" si="12"/>
        <v>0</v>
      </c>
      <c r="S39" s="16">
        <f t="shared" si="12"/>
        <v>72.8</v>
      </c>
      <c r="T39" s="16">
        <f t="shared" si="12"/>
        <v>804.31999999999994</v>
      </c>
      <c r="U39" s="16">
        <f t="shared" si="12"/>
        <v>68214.063999999998</v>
      </c>
      <c r="V39" s="64"/>
      <c r="W39" s="64"/>
    </row>
    <row r="40" spans="1:23" ht="42.75" customHeight="1">
      <c r="A40" s="8">
        <v>25</v>
      </c>
      <c r="B40" s="9" t="s">
        <v>46</v>
      </c>
      <c r="C40" s="10">
        <f>'June 2022'!H40</f>
        <v>13829.378000000002</v>
      </c>
      <c r="D40" s="10">
        <v>24.76</v>
      </c>
      <c r="E40" s="10">
        <f>'June 2022'!E40+'July 2022'!D40</f>
        <v>69.05</v>
      </c>
      <c r="F40" s="10">
        <v>0</v>
      </c>
      <c r="G40" s="10">
        <f>'June 2022'!G40+'July 2022'!F40</f>
        <v>0</v>
      </c>
      <c r="H40" s="10">
        <f t="shared" si="0"/>
        <v>13854.138000000003</v>
      </c>
      <c r="I40" s="10">
        <f>'June 2022'!N40</f>
        <v>0</v>
      </c>
      <c r="J40" s="10">
        <v>0</v>
      </c>
      <c r="K40" s="10">
        <f>'June 2022'!K40+'July 2022'!J40</f>
        <v>0</v>
      </c>
      <c r="L40" s="10">
        <v>0</v>
      </c>
      <c r="M40" s="10">
        <f>'June 2022'!M40+'July 2022'!L40</f>
        <v>0</v>
      </c>
      <c r="N40" s="10">
        <f t="shared" si="1"/>
        <v>0</v>
      </c>
      <c r="O40" s="11">
        <f>'June 2022'!T40</f>
        <v>0</v>
      </c>
      <c r="P40" s="10">
        <v>0</v>
      </c>
      <c r="Q40" s="10">
        <f>'June 2022'!Q40+'July 2022'!P40</f>
        <v>0</v>
      </c>
      <c r="R40" s="10">
        <v>0</v>
      </c>
      <c r="S40" s="10">
        <f>'June 2022'!S40+'July 2022'!R40</f>
        <v>0</v>
      </c>
      <c r="T40" s="11">
        <f t="shared" si="2"/>
        <v>0</v>
      </c>
      <c r="U40" s="11">
        <f t="shared" si="3"/>
        <v>13854.138000000003</v>
      </c>
      <c r="V40" s="12"/>
      <c r="W40" s="12"/>
    </row>
    <row r="41" spans="1:23" ht="42.75" customHeight="1">
      <c r="A41" s="8">
        <v>26</v>
      </c>
      <c r="B41" s="9" t="s">
        <v>47</v>
      </c>
      <c r="C41" s="10">
        <f>'June 2022'!H41</f>
        <v>10314.345999999992</v>
      </c>
      <c r="D41" s="10">
        <v>86.68</v>
      </c>
      <c r="E41" s="10">
        <f>'June 2022'!E41+'July 2022'!D41</f>
        <v>291.31000000000006</v>
      </c>
      <c r="F41" s="10">
        <v>0</v>
      </c>
      <c r="G41" s="10">
        <f>'June 2022'!G41+'July 2022'!F41</f>
        <v>0</v>
      </c>
      <c r="H41" s="10">
        <f t="shared" si="0"/>
        <v>10401.025999999993</v>
      </c>
      <c r="I41" s="10">
        <f>'June 2022'!N41</f>
        <v>0</v>
      </c>
      <c r="J41" s="10">
        <v>0</v>
      </c>
      <c r="K41" s="10">
        <f>'June 2022'!K41+'July 2022'!J41</f>
        <v>0</v>
      </c>
      <c r="L41" s="10">
        <v>0</v>
      </c>
      <c r="M41" s="10">
        <f>'June 2022'!M41+'July 2022'!L41</f>
        <v>0</v>
      </c>
      <c r="N41" s="10">
        <f t="shared" si="1"/>
        <v>0</v>
      </c>
      <c r="O41" s="11">
        <f>'June 2022'!T41</f>
        <v>0</v>
      </c>
      <c r="P41" s="10">
        <v>0</v>
      </c>
      <c r="Q41" s="10">
        <f>'June 2022'!Q41+'July 2022'!P41</f>
        <v>0</v>
      </c>
      <c r="R41" s="10">
        <v>0</v>
      </c>
      <c r="S41" s="10">
        <f>'June 2022'!S41+'July 2022'!R41</f>
        <v>0</v>
      </c>
      <c r="T41" s="11">
        <f t="shared" si="2"/>
        <v>0</v>
      </c>
      <c r="U41" s="11">
        <f t="shared" si="3"/>
        <v>10401.025999999993</v>
      </c>
      <c r="V41" s="12"/>
      <c r="W41" s="12"/>
    </row>
    <row r="42" spans="1:23" ht="42.75" customHeight="1">
      <c r="A42" s="8">
        <v>27</v>
      </c>
      <c r="B42" s="9" t="s">
        <v>48</v>
      </c>
      <c r="C42" s="10">
        <f>'June 2022'!H42</f>
        <v>23899.194</v>
      </c>
      <c r="D42" s="10">
        <v>9.16</v>
      </c>
      <c r="E42" s="10">
        <f>'June 2022'!E42+'July 2022'!D42</f>
        <v>34.44</v>
      </c>
      <c r="F42" s="10">
        <v>0</v>
      </c>
      <c r="G42" s="10">
        <f>'June 2022'!G42+'July 2022'!F42</f>
        <v>0</v>
      </c>
      <c r="H42" s="10">
        <f t="shared" si="0"/>
        <v>23908.353999999999</v>
      </c>
      <c r="I42" s="10">
        <f>'June 2022'!N42</f>
        <v>0</v>
      </c>
      <c r="J42" s="10">
        <v>0</v>
      </c>
      <c r="K42" s="10">
        <f>'June 2022'!K42+'July 2022'!J42</f>
        <v>0</v>
      </c>
      <c r="L42" s="10">
        <v>0</v>
      </c>
      <c r="M42" s="10">
        <f>'June 2022'!M42+'July 2022'!L42</f>
        <v>0</v>
      </c>
      <c r="N42" s="10">
        <f t="shared" si="1"/>
        <v>0</v>
      </c>
      <c r="O42" s="11">
        <f>'June 2022'!T42</f>
        <v>0</v>
      </c>
      <c r="P42" s="10">
        <v>0</v>
      </c>
      <c r="Q42" s="10">
        <f>'June 2022'!Q42+'July 2022'!P42</f>
        <v>0</v>
      </c>
      <c r="R42" s="10">
        <v>0</v>
      </c>
      <c r="S42" s="10">
        <f>'June 2022'!S42+'July 2022'!R42</f>
        <v>0</v>
      </c>
      <c r="T42" s="11">
        <f t="shared" si="2"/>
        <v>0</v>
      </c>
      <c r="U42" s="11">
        <f t="shared" si="3"/>
        <v>23908.353999999999</v>
      </c>
      <c r="V42" s="12"/>
      <c r="W42" s="12"/>
    </row>
    <row r="43" spans="1:23" ht="42.75" customHeight="1">
      <c r="A43" s="8">
        <v>28</v>
      </c>
      <c r="B43" s="9" t="s">
        <v>49</v>
      </c>
      <c r="C43" s="10">
        <f>'June 2022'!H43</f>
        <v>2312.3230000000003</v>
      </c>
      <c r="D43" s="10">
        <v>8.1</v>
      </c>
      <c r="E43" s="10">
        <f>'June 2022'!E43+'July 2022'!D43</f>
        <v>33.96</v>
      </c>
      <c r="F43" s="10">
        <v>0</v>
      </c>
      <c r="G43" s="10">
        <f>'June 2022'!G43+'July 2022'!F43</f>
        <v>0</v>
      </c>
      <c r="H43" s="10">
        <f t="shared" si="0"/>
        <v>2320.4230000000002</v>
      </c>
      <c r="I43" s="10">
        <f>'June 2022'!N43</f>
        <v>0</v>
      </c>
      <c r="J43" s="10">
        <v>0</v>
      </c>
      <c r="K43" s="10">
        <f>'June 2022'!K43+'July 2022'!J43</f>
        <v>0</v>
      </c>
      <c r="L43" s="10">
        <v>0</v>
      </c>
      <c r="M43" s="10">
        <f>'June 2022'!M43+'July 2022'!L43</f>
        <v>0</v>
      </c>
      <c r="N43" s="10">
        <f t="shared" si="1"/>
        <v>0</v>
      </c>
      <c r="O43" s="11">
        <f>'June 2022'!T43</f>
        <v>0</v>
      </c>
      <c r="P43" s="10">
        <v>0</v>
      </c>
      <c r="Q43" s="10">
        <f>'June 2022'!Q43+'July 2022'!P43</f>
        <v>0</v>
      </c>
      <c r="R43" s="10">
        <v>0</v>
      </c>
      <c r="S43" s="10">
        <f>'June 2022'!S43+'July 2022'!R43</f>
        <v>0</v>
      </c>
      <c r="T43" s="11">
        <f t="shared" si="2"/>
        <v>0</v>
      </c>
      <c r="U43" s="11">
        <f t="shared" si="3"/>
        <v>2320.4230000000002</v>
      </c>
      <c r="V43" s="12"/>
      <c r="W43" s="12"/>
    </row>
    <row r="44" spans="1:23" s="17" customFormat="1" ht="42.75" customHeight="1">
      <c r="A44" s="14"/>
      <c r="B44" s="15" t="s">
        <v>50</v>
      </c>
      <c r="C44" s="16">
        <f>SUM(C40:C43)</f>
        <v>50355.240999999995</v>
      </c>
      <c r="D44" s="16">
        <f t="shared" ref="D44:U44" si="13">SUM(D40:D43)</f>
        <v>128.70000000000002</v>
      </c>
      <c r="E44" s="16">
        <f t="shared" si="13"/>
        <v>428.76000000000005</v>
      </c>
      <c r="F44" s="16">
        <f t="shared" si="13"/>
        <v>0</v>
      </c>
      <c r="G44" s="16">
        <f t="shared" si="13"/>
        <v>0</v>
      </c>
      <c r="H44" s="16">
        <f t="shared" si="13"/>
        <v>50483.940999999999</v>
      </c>
      <c r="I44" s="16">
        <f t="shared" si="13"/>
        <v>0</v>
      </c>
      <c r="J44" s="16">
        <f t="shared" si="13"/>
        <v>0</v>
      </c>
      <c r="K44" s="16">
        <f t="shared" si="13"/>
        <v>0</v>
      </c>
      <c r="L44" s="16">
        <f t="shared" si="13"/>
        <v>0</v>
      </c>
      <c r="M44" s="16">
        <f t="shared" si="13"/>
        <v>0</v>
      </c>
      <c r="N44" s="16">
        <f t="shared" si="13"/>
        <v>0</v>
      </c>
      <c r="O44" s="16">
        <f t="shared" si="13"/>
        <v>0</v>
      </c>
      <c r="P44" s="16">
        <f t="shared" si="13"/>
        <v>0</v>
      </c>
      <c r="Q44" s="16">
        <f t="shared" si="13"/>
        <v>0</v>
      </c>
      <c r="R44" s="16">
        <f t="shared" si="13"/>
        <v>0</v>
      </c>
      <c r="S44" s="16">
        <f t="shared" si="13"/>
        <v>0</v>
      </c>
      <c r="T44" s="16">
        <f t="shared" si="13"/>
        <v>0</v>
      </c>
      <c r="U44" s="16">
        <f t="shared" si="13"/>
        <v>50483.940999999999</v>
      </c>
      <c r="V44" s="64"/>
      <c r="W44" s="64"/>
    </row>
    <row r="45" spans="1:23" ht="42.75" customHeight="1">
      <c r="A45" s="8">
        <v>29</v>
      </c>
      <c r="B45" s="9" t="s">
        <v>51</v>
      </c>
      <c r="C45" s="10">
        <f>'June 2022'!H45</f>
        <v>14078.989999999998</v>
      </c>
      <c r="D45" s="10">
        <v>0.99</v>
      </c>
      <c r="E45" s="10">
        <f>'June 2022'!E45+'July 2022'!D45</f>
        <v>125.92999999999999</v>
      </c>
      <c r="F45" s="10">
        <v>0</v>
      </c>
      <c r="G45" s="10">
        <f>'June 2022'!G45+'July 2022'!F45</f>
        <v>0</v>
      </c>
      <c r="H45" s="10">
        <f t="shared" si="0"/>
        <v>14079.979999999998</v>
      </c>
      <c r="I45" s="10">
        <f>'June 2022'!N45</f>
        <v>6.6400000000000006</v>
      </c>
      <c r="J45" s="10">
        <v>0</v>
      </c>
      <c r="K45" s="10">
        <f>'June 2022'!K45+'July 2022'!J45</f>
        <v>0.01</v>
      </c>
      <c r="L45" s="10">
        <v>0</v>
      </c>
      <c r="M45" s="10">
        <f>'June 2022'!M45+'July 2022'!L45</f>
        <v>0</v>
      </c>
      <c r="N45" s="10">
        <f t="shared" si="1"/>
        <v>6.6400000000000006</v>
      </c>
      <c r="O45" s="11">
        <f>'June 2022'!T45</f>
        <v>91.050000000000011</v>
      </c>
      <c r="P45" s="10">
        <v>3.34</v>
      </c>
      <c r="Q45" s="10">
        <f>'June 2022'!Q45+'July 2022'!P45</f>
        <v>64.22</v>
      </c>
      <c r="R45" s="10">
        <v>0</v>
      </c>
      <c r="S45" s="10">
        <f>'June 2022'!S45+'July 2022'!R45</f>
        <v>0</v>
      </c>
      <c r="T45" s="11">
        <f t="shared" si="2"/>
        <v>94.390000000000015</v>
      </c>
      <c r="U45" s="11">
        <f t="shared" si="3"/>
        <v>14181.009999999997</v>
      </c>
      <c r="V45" s="115"/>
      <c r="W45" s="12"/>
    </row>
    <row r="46" spans="1:23" ht="42.75" customHeight="1">
      <c r="A46" s="8">
        <v>30</v>
      </c>
      <c r="B46" s="9" t="s">
        <v>52</v>
      </c>
      <c r="C46" s="10">
        <f>'June 2022'!H46</f>
        <v>7292.6699999999992</v>
      </c>
      <c r="D46" s="10">
        <v>4.96</v>
      </c>
      <c r="E46" s="10">
        <f>'June 2022'!E46+'July 2022'!D46</f>
        <v>32.270000000000003</v>
      </c>
      <c r="F46" s="10">
        <v>0</v>
      </c>
      <c r="G46" s="10">
        <f>'June 2022'!G46+'July 2022'!F46</f>
        <v>0</v>
      </c>
      <c r="H46" s="10">
        <f t="shared" si="0"/>
        <v>7297.6299999999992</v>
      </c>
      <c r="I46" s="10">
        <f>'June 2022'!N46</f>
        <v>0</v>
      </c>
      <c r="J46" s="10">
        <v>0</v>
      </c>
      <c r="K46" s="10">
        <f>'June 2022'!K46+'July 2022'!J46</f>
        <v>0</v>
      </c>
      <c r="L46" s="10">
        <v>0</v>
      </c>
      <c r="M46" s="10">
        <f>'June 2022'!M46+'July 2022'!L46</f>
        <v>0</v>
      </c>
      <c r="N46" s="10">
        <f t="shared" si="1"/>
        <v>0</v>
      </c>
      <c r="O46" s="11">
        <f>'June 2022'!T46</f>
        <v>7.5900000000000007</v>
      </c>
      <c r="P46" s="10">
        <v>0</v>
      </c>
      <c r="Q46" s="10">
        <f>'June 2022'!Q46+'July 2022'!P46</f>
        <v>0</v>
      </c>
      <c r="R46" s="10">
        <v>0</v>
      </c>
      <c r="S46" s="10">
        <f>'June 2022'!S46+'July 2022'!R46</f>
        <v>0.31</v>
      </c>
      <c r="T46" s="11">
        <f t="shared" si="2"/>
        <v>7.5900000000000007</v>
      </c>
      <c r="U46" s="11">
        <f t="shared" si="3"/>
        <v>7305.2199999999993</v>
      </c>
      <c r="V46" s="115"/>
      <c r="W46" s="12"/>
    </row>
    <row r="47" spans="1:23" ht="42.75" customHeight="1">
      <c r="A47" s="8">
        <v>31</v>
      </c>
      <c r="B47" s="9" t="s">
        <v>53</v>
      </c>
      <c r="C47" s="10">
        <f>'June 2022'!H47</f>
        <v>12302.770000000002</v>
      </c>
      <c r="D47" s="10">
        <v>0.55000000000000004</v>
      </c>
      <c r="E47" s="10">
        <f>'June 2022'!E47+'July 2022'!D47</f>
        <v>10.06</v>
      </c>
      <c r="F47" s="10">
        <v>0</v>
      </c>
      <c r="G47" s="10">
        <f>'June 2022'!G47+'July 2022'!F47</f>
        <v>0</v>
      </c>
      <c r="H47" s="10">
        <f t="shared" si="0"/>
        <v>12303.320000000002</v>
      </c>
      <c r="I47" s="10">
        <f>'June 2022'!N47</f>
        <v>1.2999999999999998</v>
      </c>
      <c r="J47" s="10">
        <v>0</v>
      </c>
      <c r="K47" s="10">
        <f>'June 2022'!K47+'July 2022'!J47</f>
        <v>0</v>
      </c>
      <c r="L47" s="10">
        <v>0</v>
      </c>
      <c r="M47" s="10">
        <f>'June 2022'!M47+'July 2022'!L47</f>
        <v>0</v>
      </c>
      <c r="N47" s="10">
        <f t="shared" si="1"/>
        <v>1.2999999999999998</v>
      </c>
      <c r="O47" s="11">
        <f>'June 2022'!T47</f>
        <v>86.18</v>
      </c>
      <c r="P47" s="10">
        <v>0</v>
      </c>
      <c r="Q47" s="10">
        <f>'June 2022'!Q47+'July 2022'!P47</f>
        <v>0</v>
      </c>
      <c r="R47" s="10">
        <v>0</v>
      </c>
      <c r="S47" s="10">
        <f>'June 2022'!S47+'July 2022'!R47</f>
        <v>0.1</v>
      </c>
      <c r="T47" s="11">
        <f t="shared" si="2"/>
        <v>86.18</v>
      </c>
      <c r="U47" s="11">
        <f t="shared" si="3"/>
        <v>12390.800000000001</v>
      </c>
      <c r="V47" s="115"/>
      <c r="W47" s="12"/>
    </row>
    <row r="48" spans="1:23" ht="42.75" customHeight="1">
      <c r="A48" s="8">
        <v>32</v>
      </c>
      <c r="B48" s="9" t="s">
        <v>54</v>
      </c>
      <c r="C48" s="10">
        <f>'June 2022'!H48</f>
        <v>11099.832000000008</v>
      </c>
      <c r="D48" s="10">
        <v>0</v>
      </c>
      <c r="E48" s="10">
        <f>'June 2022'!E48+'July 2022'!D48</f>
        <v>9.64</v>
      </c>
      <c r="F48" s="10">
        <v>0</v>
      </c>
      <c r="G48" s="10">
        <f>'June 2022'!G48+'July 2022'!F48</f>
        <v>0</v>
      </c>
      <c r="H48" s="10">
        <f t="shared" si="0"/>
        <v>11099.832000000008</v>
      </c>
      <c r="I48" s="10">
        <f>'June 2022'!N48</f>
        <v>0</v>
      </c>
      <c r="J48" s="10">
        <v>0</v>
      </c>
      <c r="K48" s="10">
        <f>'June 2022'!K48+'July 2022'!J48</f>
        <v>0</v>
      </c>
      <c r="L48" s="10">
        <v>0</v>
      </c>
      <c r="M48" s="10">
        <f>'June 2022'!M48+'July 2022'!L48</f>
        <v>0</v>
      </c>
      <c r="N48" s="10">
        <f t="shared" si="1"/>
        <v>0</v>
      </c>
      <c r="O48" s="11">
        <f>'June 2022'!T48</f>
        <v>30.53</v>
      </c>
      <c r="P48" s="10">
        <v>0</v>
      </c>
      <c r="Q48" s="10">
        <f>'June 2022'!Q48+'July 2022'!P48</f>
        <v>0.53</v>
      </c>
      <c r="R48" s="10">
        <v>0</v>
      </c>
      <c r="S48" s="10">
        <f>'June 2022'!S48+'July 2022'!R48</f>
        <v>0</v>
      </c>
      <c r="T48" s="11">
        <f t="shared" si="2"/>
        <v>30.53</v>
      </c>
      <c r="U48" s="11">
        <f t="shared" si="3"/>
        <v>11130.362000000008</v>
      </c>
      <c r="V48" s="115"/>
      <c r="W48" s="12"/>
    </row>
    <row r="49" spans="1:23" s="17" customFormat="1" ht="42.75" customHeight="1">
      <c r="A49" s="14"/>
      <c r="B49" s="15" t="s">
        <v>55</v>
      </c>
      <c r="C49" s="16">
        <f>SUM(C45:C48)</f>
        <v>44774.26200000001</v>
      </c>
      <c r="D49" s="16">
        <f t="shared" ref="D49:U49" si="14">SUM(D45:D48)</f>
        <v>6.5</v>
      </c>
      <c r="E49" s="16">
        <f t="shared" si="14"/>
        <v>177.89999999999998</v>
      </c>
      <c r="F49" s="16">
        <f t="shared" si="14"/>
        <v>0</v>
      </c>
      <c r="G49" s="16">
        <f t="shared" si="14"/>
        <v>0</v>
      </c>
      <c r="H49" s="16">
        <f t="shared" si="14"/>
        <v>44780.76200000001</v>
      </c>
      <c r="I49" s="16">
        <f t="shared" si="14"/>
        <v>7.94</v>
      </c>
      <c r="J49" s="16">
        <f t="shared" si="14"/>
        <v>0</v>
      </c>
      <c r="K49" s="16">
        <f t="shared" si="14"/>
        <v>0.01</v>
      </c>
      <c r="L49" s="16">
        <f t="shared" si="14"/>
        <v>0</v>
      </c>
      <c r="M49" s="16">
        <f t="shared" si="14"/>
        <v>0</v>
      </c>
      <c r="N49" s="16">
        <f t="shared" si="14"/>
        <v>7.94</v>
      </c>
      <c r="O49" s="16">
        <f t="shared" si="14"/>
        <v>215.35000000000002</v>
      </c>
      <c r="P49" s="16">
        <f t="shared" si="14"/>
        <v>3.34</v>
      </c>
      <c r="Q49" s="16">
        <f t="shared" si="14"/>
        <v>64.75</v>
      </c>
      <c r="R49" s="16">
        <f t="shared" si="14"/>
        <v>0</v>
      </c>
      <c r="S49" s="16">
        <f t="shared" si="14"/>
        <v>0.41000000000000003</v>
      </c>
      <c r="T49" s="16">
        <f t="shared" si="14"/>
        <v>218.69000000000003</v>
      </c>
      <c r="U49" s="16">
        <f t="shared" si="14"/>
        <v>45007.392000000007</v>
      </c>
      <c r="V49" s="64"/>
      <c r="W49" s="64"/>
    </row>
    <row r="50" spans="1:23" s="17" customFormat="1" ht="42.75" customHeight="1">
      <c r="A50" s="14"/>
      <c r="B50" s="15" t="s">
        <v>56</v>
      </c>
      <c r="C50" s="16">
        <f>C49+C44</f>
        <v>95129.502999999997</v>
      </c>
      <c r="D50" s="16">
        <f t="shared" ref="D50:U50" si="15">D49+D44</f>
        <v>135.20000000000002</v>
      </c>
      <c r="E50" s="16">
        <f t="shared" si="15"/>
        <v>606.66000000000008</v>
      </c>
      <c r="F50" s="16">
        <f t="shared" si="15"/>
        <v>0</v>
      </c>
      <c r="G50" s="16">
        <f t="shared" si="15"/>
        <v>0</v>
      </c>
      <c r="H50" s="16">
        <f t="shared" si="15"/>
        <v>95264.703000000009</v>
      </c>
      <c r="I50" s="16">
        <f t="shared" si="15"/>
        <v>7.94</v>
      </c>
      <c r="J50" s="16">
        <f t="shared" si="15"/>
        <v>0</v>
      </c>
      <c r="K50" s="16">
        <f t="shared" si="15"/>
        <v>0.01</v>
      </c>
      <c r="L50" s="16">
        <f t="shared" si="15"/>
        <v>0</v>
      </c>
      <c r="M50" s="16">
        <f t="shared" si="15"/>
        <v>0</v>
      </c>
      <c r="N50" s="16">
        <f t="shared" si="15"/>
        <v>7.94</v>
      </c>
      <c r="O50" s="16">
        <f t="shared" si="15"/>
        <v>215.35000000000002</v>
      </c>
      <c r="P50" s="16">
        <f t="shared" si="15"/>
        <v>3.34</v>
      </c>
      <c r="Q50" s="16">
        <f t="shared" si="15"/>
        <v>64.75</v>
      </c>
      <c r="R50" s="16">
        <f t="shared" si="15"/>
        <v>0</v>
      </c>
      <c r="S50" s="16">
        <f t="shared" si="15"/>
        <v>0.41000000000000003</v>
      </c>
      <c r="T50" s="16">
        <f t="shared" si="15"/>
        <v>218.69000000000003</v>
      </c>
      <c r="U50" s="16">
        <f t="shared" si="15"/>
        <v>95491.333000000013</v>
      </c>
      <c r="V50" s="64"/>
      <c r="W50" s="64"/>
    </row>
    <row r="51" spans="1:23" s="17" customFormat="1" ht="42.75" customHeight="1">
      <c r="A51" s="14"/>
      <c r="B51" s="15" t="s">
        <v>57</v>
      </c>
      <c r="C51" s="16">
        <f>C50+C39+C25</f>
        <v>172774.69500000001</v>
      </c>
      <c r="D51" s="16">
        <f t="shared" ref="D51:U51" si="16">D50+D39+D25</f>
        <v>200.65</v>
      </c>
      <c r="E51" s="16">
        <f t="shared" si="16"/>
        <v>973.67499999999995</v>
      </c>
      <c r="F51" s="16">
        <f t="shared" si="16"/>
        <v>66.989999999999995</v>
      </c>
      <c r="G51" s="16">
        <f t="shared" si="16"/>
        <v>416.87</v>
      </c>
      <c r="H51" s="16">
        <f t="shared" si="16"/>
        <v>172908.35500000001</v>
      </c>
      <c r="I51" s="16">
        <f t="shared" si="16"/>
        <v>2206.6850000000004</v>
      </c>
      <c r="J51" s="16">
        <f t="shared" si="16"/>
        <v>92.81</v>
      </c>
      <c r="K51" s="16">
        <f t="shared" si="16"/>
        <v>253.40200000000002</v>
      </c>
      <c r="L51" s="16">
        <f t="shared" si="16"/>
        <v>0.76</v>
      </c>
      <c r="M51" s="16">
        <f t="shared" si="16"/>
        <v>1.75</v>
      </c>
      <c r="N51" s="16">
        <f t="shared" si="16"/>
        <v>2298.7350000000001</v>
      </c>
      <c r="O51" s="16">
        <f t="shared" si="16"/>
        <v>5649.2039999999997</v>
      </c>
      <c r="P51" s="16">
        <f t="shared" si="16"/>
        <v>266.75</v>
      </c>
      <c r="Q51" s="16">
        <f t="shared" si="16"/>
        <v>1118.1800000000003</v>
      </c>
      <c r="R51" s="16">
        <f t="shared" si="16"/>
        <v>0</v>
      </c>
      <c r="S51" s="16">
        <f t="shared" si="16"/>
        <v>144.16999999999999</v>
      </c>
      <c r="T51" s="16">
        <f t="shared" si="16"/>
        <v>5915.9539999999997</v>
      </c>
      <c r="U51" s="16">
        <f t="shared" si="16"/>
        <v>181123.04399999999</v>
      </c>
      <c r="V51" s="64"/>
      <c r="W51" s="64"/>
    </row>
    <row r="52" spans="1:23" s="23" customFormat="1" ht="42.75" hidden="1" customHeight="1">
      <c r="A52" s="19"/>
      <c r="B52" s="20"/>
      <c r="C52" s="10">
        <f>'June 2022'!H52</f>
        <v>0</v>
      </c>
      <c r="D52" s="21"/>
      <c r="E52" s="10">
        <f>'June 2022'!E52+'July 2022'!D52</f>
        <v>0</v>
      </c>
      <c r="F52" s="21"/>
      <c r="G52" s="10">
        <f>'June 2022'!G52+'July 2022'!F52</f>
        <v>0</v>
      </c>
      <c r="H52" s="10">
        <f t="shared" si="0"/>
        <v>0</v>
      </c>
      <c r="I52" s="10">
        <f>'June 2022'!N52</f>
        <v>0</v>
      </c>
      <c r="J52" s="21"/>
      <c r="K52" s="10">
        <f>'June 2022'!K52+'July 2022'!J52</f>
        <v>0</v>
      </c>
      <c r="L52" s="21"/>
      <c r="M52" s="10">
        <f>'June 2022'!M52+'July 2022'!L52</f>
        <v>0</v>
      </c>
      <c r="N52" s="21"/>
      <c r="O52" s="21"/>
      <c r="P52" s="21"/>
      <c r="Q52" s="10">
        <f>'June 2022'!Q52+'July 2022'!P52</f>
        <v>0</v>
      </c>
      <c r="R52" s="21"/>
      <c r="S52" s="10">
        <f>'June 2022'!S52+'July 2022'!R52</f>
        <v>0</v>
      </c>
      <c r="T52" s="21"/>
      <c r="U52" s="21"/>
      <c r="V52" s="21"/>
      <c r="W52" s="21"/>
    </row>
    <row r="53" spans="1:23" s="23" customFormat="1" hidden="1">
      <c r="A53" s="19"/>
      <c r="B53" s="20"/>
      <c r="C53" s="10">
        <f>'June 2022'!H53</f>
        <v>0</v>
      </c>
      <c r="D53" s="21"/>
      <c r="E53" s="10">
        <f>'June 2022'!E53+'July 2022'!D53</f>
        <v>0</v>
      </c>
      <c r="F53" s="21"/>
      <c r="G53" s="10">
        <f>'June 2022'!G53+'July 2022'!F53</f>
        <v>0</v>
      </c>
      <c r="H53" s="10">
        <f t="shared" si="0"/>
        <v>0</v>
      </c>
      <c r="I53" s="10">
        <f>'June 2022'!N53</f>
        <v>0</v>
      </c>
      <c r="J53" s="21"/>
      <c r="K53" s="10">
        <f>'June 2022'!K53+'July 2022'!J53</f>
        <v>0</v>
      </c>
      <c r="L53" s="21"/>
      <c r="M53" s="10">
        <f>'June 2022'!M53+'July 2022'!L53</f>
        <v>0</v>
      </c>
      <c r="N53" s="21"/>
      <c r="O53" s="21"/>
      <c r="P53" s="24"/>
      <c r="Q53" s="10">
        <f>'June 2022'!Q53+'July 2022'!P53</f>
        <v>0</v>
      </c>
      <c r="R53" s="21"/>
      <c r="S53" s="10">
        <f>'June 2022'!S53+'July 2022'!R53</f>
        <v>0</v>
      </c>
      <c r="T53" s="25"/>
      <c r="U53" s="21"/>
      <c r="V53" s="21"/>
      <c r="W53" s="21"/>
    </row>
    <row r="54" spans="1:23" s="23" customFormat="1">
      <c r="A54" s="19"/>
      <c r="B54" s="20"/>
      <c r="C54" s="21"/>
      <c r="D54" s="21"/>
      <c r="E54" s="22"/>
      <c r="F54" s="21"/>
      <c r="G54" s="21"/>
      <c r="H54" s="21"/>
      <c r="I54" s="24"/>
      <c r="J54" s="21"/>
      <c r="K54" s="22"/>
      <c r="L54" s="21"/>
      <c r="M54" s="24"/>
      <c r="N54" s="21" t="s">
        <v>66</v>
      </c>
      <c r="O54" s="21"/>
      <c r="P54" s="24"/>
      <c r="Q54" s="22"/>
      <c r="R54" s="21"/>
      <c r="S54" s="24"/>
      <c r="T54" s="25"/>
      <c r="U54" s="21"/>
      <c r="V54" s="21"/>
      <c r="W54" s="21"/>
    </row>
    <row r="55" spans="1:23" s="23" customFormat="1">
      <c r="A55" s="19"/>
      <c r="B55" s="20"/>
      <c r="C55" s="21"/>
      <c r="D55" s="21"/>
      <c r="E55" s="22"/>
      <c r="F55" s="21"/>
      <c r="G55" s="21"/>
      <c r="H55" s="21"/>
      <c r="I55" s="24"/>
      <c r="J55" s="21"/>
      <c r="K55" s="22"/>
      <c r="L55" s="21"/>
      <c r="M55" s="24"/>
      <c r="N55" s="21"/>
      <c r="O55" s="21"/>
      <c r="P55" s="24"/>
      <c r="Q55" s="22"/>
      <c r="R55" s="21"/>
      <c r="S55" s="24"/>
      <c r="T55" s="25"/>
      <c r="U55" s="21"/>
      <c r="V55" s="21"/>
      <c r="W55" s="21"/>
    </row>
    <row r="56" spans="1:23" s="17" customFormat="1" ht="57" customHeight="1">
      <c r="A56" s="26"/>
      <c r="B56" s="27"/>
      <c r="C56" s="28"/>
      <c r="D56" s="112" t="s">
        <v>58</v>
      </c>
      <c r="E56" s="112"/>
      <c r="F56" s="112"/>
      <c r="G56" s="112"/>
      <c r="H56" s="64">
        <f>D51+J51+P51-F51-L51-R51</f>
        <v>492.46000000000004</v>
      </c>
      <c r="I56" s="64"/>
      <c r="J56" s="64"/>
      <c r="K56" s="64"/>
      <c r="L56" s="64"/>
      <c r="M56" s="64"/>
      <c r="N56" s="64"/>
      <c r="O56" s="29"/>
      <c r="P56" s="64"/>
      <c r="Q56" s="64"/>
      <c r="R56" s="64"/>
      <c r="S56" s="64"/>
      <c r="T56" s="64"/>
      <c r="U56" s="65"/>
      <c r="V56" s="65"/>
      <c r="W56" s="65"/>
    </row>
    <row r="57" spans="1:23" s="17" customFormat="1" ht="66" customHeight="1">
      <c r="A57" s="26"/>
      <c r="B57" s="27"/>
      <c r="C57" s="64"/>
      <c r="D57" s="112" t="s">
        <v>59</v>
      </c>
      <c r="E57" s="112"/>
      <c r="F57" s="112"/>
      <c r="G57" s="112"/>
      <c r="H57" s="64">
        <f>E51+K51+Q51-G51-M51-S51</f>
        <v>1782.4670000000006</v>
      </c>
      <c r="I57" s="64"/>
      <c r="J57" s="64"/>
      <c r="K57" s="64"/>
      <c r="L57" s="64"/>
      <c r="M57" s="64"/>
      <c r="N57" s="64"/>
      <c r="O57" s="29"/>
      <c r="P57" s="64"/>
      <c r="Q57" s="64"/>
      <c r="R57" s="64"/>
      <c r="S57" s="64"/>
      <c r="T57" s="64"/>
      <c r="U57" s="65"/>
      <c r="V57" s="65"/>
      <c r="W57" s="65"/>
    </row>
    <row r="58" spans="1:23" ht="54" customHeight="1">
      <c r="C58" s="28"/>
      <c r="D58" s="112" t="s">
        <v>60</v>
      </c>
      <c r="E58" s="112"/>
      <c r="F58" s="112"/>
      <c r="G58" s="112"/>
      <c r="H58" s="64">
        <f>H51+N51+T51</f>
        <v>181123.04399999999</v>
      </c>
      <c r="I58" s="31"/>
      <c r="J58" s="31"/>
      <c r="K58" s="31"/>
      <c r="L58" s="32"/>
      <c r="M58" s="32"/>
      <c r="N58" s="45" t="e">
        <f>#REF!+'July 2022'!H56</f>
        <v>#REF!</v>
      </c>
      <c r="O58" s="12"/>
      <c r="P58" s="31"/>
      <c r="Q58" s="31"/>
      <c r="T58" s="41"/>
      <c r="U58" s="12"/>
      <c r="V58" s="12"/>
      <c r="W58" s="12"/>
    </row>
    <row r="59" spans="1:23" ht="42.75" customHeight="1">
      <c r="C59" s="65"/>
      <c r="D59" s="65"/>
      <c r="E59" s="1"/>
      <c r="H59" s="31"/>
      <c r="J59" s="33" t="e">
        <f>#REF!+'July 2022'!H56</f>
        <v>#REF!</v>
      </c>
      <c r="K59" s="31"/>
      <c r="L59" s="33" t="e">
        <f>#REF!+'July 2022'!H56</f>
        <v>#REF!</v>
      </c>
      <c r="M59" s="31"/>
      <c r="O59" s="12"/>
    </row>
    <row r="60" spans="1:23" s="17" customFormat="1" ht="78.75" customHeight="1">
      <c r="B60" s="114" t="s">
        <v>61</v>
      </c>
      <c r="C60" s="114"/>
      <c r="D60" s="114"/>
      <c r="E60" s="114"/>
      <c r="F60" s="114"/>
      <c r="H60" s="1"/>
      <c r="I60" s="34" t="e">
        <f>#REF!+'July 2022'!H56</f>
        <v>#REF!</v>
      </c>
      <c r="J60" s="1"/>
      <c r="K60" s="31"/>
      <c r="L60" s="31"/>
      <c r="M60" s="33">
        <f>'March 2022'!H58+'July 2022'!H56</f>
        <v>179833.03699999995</v>
      </c>
      <c r="Q60" s="114" t="s">
        <v>62</v>
      </c>
      <c r="R60" s="114"/>
      <c r="S60" s="114"/>
      <c r="T60" s="114"/>
      <c r="U60" s="114"/>
    </row>
    <row r="61" spans="1:23" s="17" customFormat="1" ht="45.75" customHeight="1">
      <c r="B61" s="114" t="s">
        <v>63</v>
      </c>
      <c r="C61" s="114"/>
      <c r="D61" s="114"/>
      <c r="E61" s="114"/>
      <c r="F61" s="114"/>
      <c r="G61" s="35"/>
      <c r="H61" s="36">
        <f>'[1]feb 2021'!H58+'July 2022'!H56</f>
        <v>177330.103</v>
      </c>
      <c r="I61" s="35"/>
      <c r="J61" s="28"/>
      <c r="K61" s="31"/>
      <c r="L61" s="31"/>
      <c r="M61" s="31"/>
      <c r="Q61" s="114" t="s">
        <v>63</v>
      </c>
      <c r="R61" s="114"/>
      <c r="S61" s="114"/>
      <c r="T61" s="114"/>
      <c r="U61" s="114"/>
    </row>
    <row r="62" spans="1:23" s="17" customFormat="1">
      <c r="B62" s="27"/>
      <c r="F62" s="37"/>
      <c r="I62" s="35"/>
      <c r="J62" s="37"/>
      <c r="Q62" s="65"/>
      <c r="R62" s="65"/>
      <c r="S62" s="2"/>
      <c r="T62" s="65"/>
      <c r="U62" s="65"/>
      <c r="V62" s="65"/>
      <c r="W62" s="65"/>
    </row>
    <row r="63" spans="1:23" s="17" customFormat="1" ht="61.5" customHeight="1">
      <c r="B63" s="27"/>
      <c r="G63" s="36">
        <f>'[1]May 2020'!H56+'July 2022'!H56</f>
        <v>175223.421</v>
      </c>
      <c r="J63" s="113" t="s">
        <v>64</v>
      </c>
      <c r="K63" s="113"/>
      <c r="L63" s="113"/>
      <c r="O63" s="65"/>
      <c r="S63" s="37"/>
      <c r="U63" s="65"/>
      <c r="V63" s="65"/>
      <c r="W63" s="65"/>
    </row>
    <row r="64" spans="1:23" s="17" customFormat="1" ht="58.5" customHeight="1">
      <c r="B64" s="27"/>
      <c r="H64" s="1"/>
      <c r="J64" s="113" t="s">
        <v>65</v>
      </c>
      <c r="K64" s="113"/>
      <c r="L64" s="113"/>
      <c r="O64" s="65"/>
      <c r="S64" s="37"/>
      <c r="U64" s="65"/>
      <c r="V64" s="65"/>
      <c r="W64" s="65"/>
    </row>
    <row r="66" spans="2:23">
      <c r="G66" s="31"/>
      <c r="H66" s="33" t="e">
        <f>#REF!+'July 2022'!H56</f>
        <v>#REF!</v>
      </c>
    </row>
    <row r="67" spans="2:23">
      <c r="H67" s="31"/>
      <c r="J67" s="31"/>
    </row>
    <row r="69" spans="2:23">
      <c r="B69" s="3"/>
      <c r="G69" s="38"/>
      <c r="O69" s="3"/>
      <c r="U69" s="3"/>
      <c r="V69" s="3"/>
      <c r="W69" s="3"/>
    </row>
  </sheetData>
  <mergeCells count="31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V26:V27"/>
    <mergeCell ref="V45:V48"/>
    <mergeCell ref="H5:H6"/>
    <mergeCell ref="I5:I6"/>
    <mergeCell ref="J5:K5"/>
    <mergeCell ref="L5:M5"/>
    <mergeCell ref="N5:N6"/>
    <mergeCell ref="O5:O6"/>
    <mergeCell ref="Q60:U60"/>
    <mergeCell ref="B61:F61"/>
    <mergeCell ref="Q61:U61"/>
    <mergeCell ref="P5:Q5"/>
    <mergeCell ref="R5:S5"/>
    <mergeCell ref="T5:T6"/>
    <mergeCell ref="U5:U6"/>
    <mergeCell ref="J63:L63"/>
    <mergeCell ref="J64:L64"/>
    <mergeCell ref="D56:G56"/>
    <mergeCell ref="D57:G57"/>
    <mergeCell ref="D58:G58"/>
    <mergeCell ref="B60:F60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9"/>
  <sheetViews>
    <sheetView zoomScale="36" zoomScaleNormal="36" zoomScaleSheetLayoutView="25" workbookViewId="0">
      <selection activeCell="J19" sqref="J19"/>
    </sheetView>
  </sheetViews>
  <sheetFormatPr defaultRowHeight="33"/>
  <cols>
    <col min="1" max="1" width="16.7109375" style="3" customWidth="1"/>
    <col min="2" max="2" width="45.5703125" style="30" customWidth="1"/>
    <col min="3" max="3" width="36.5703125" style="3" customWidth="1"/>
    <col min="4" max="4" width="28.140625" style="3" customWidth="1"/>
    <col min="5" max="5" width="40.28515625" style="3" customWidth="1"/>
    <col min="6" max="6" width="32.42578125" style="3" customWidth="1"/>
    <col min="7" max="7" width="28.140625" style="3" customWidth="1"/>
    <col min="8" max="8" width="41.85546875" style="80" customWidth="1"/>
    <col min="9" max="9" width="29.5703125" style="3" customWidth="1"/>
    <col min="10" max="10" width="39.42578125" style="3" customWidth="1"/>
    <col min="11" max="11" width="28.140625" style="3" customWidth="1"/>
    <col min="12" max="12" width="36.7109375" style="3" customWidth="1"/>
    <col min="13" max="13" width="30.140625" style="3" customWidth="1"/>
    <col min="14" max="14" width="28.140625" style="80" customWidth="1"/>
    <col min="15" max="15" width="47.28515625" style="5" customWidth="1"/>
    <col min="16" max="16" width="32.7109375" style="3" customWidth="1"/>
    <col min="17" max="17" width="34.5703125" style="3" customWidth="1"/>
    <col min="18" max="18" width="36" style="3" customWidth="1"/>
    <col min="19" max="19" width="28.140625" style="6" customWidth="1"/>
    <col min="20" max="20" width="28.140625" style="80" customWidth="1"/>
    <col min="21" max="21" width="36.7109375" style="5" customWidth="1"/>
    <col min="22" max="22" width="41.42578125" style="5" customWidth="1"/>
    <col min="23" max="23" width="26" style="5" customWidth="1"/>
    <col min="24" max="16384" width="9.140625" style="3"/>
  </cols>
  <sheetData>
    <row r="1" spans="1:183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2"/>
      <c r="W1" s="2"/>
    </row>
    <row r="2" spans="1:183" ht="7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2"/>
      <c r="W2" s="2"/>
    </row>
    <row r="3" spans="1:183" ht="35.25" customHeight="1">
      <c r="A3" s="110" t="s">
        <v>79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2"/>
      <c r="W3" s="2"/>
    </row>
    <row r="4" spans="1:183" s="6" customFormat="1" ht="32.25" customHeight="1">
      <c r="A4" s="110" t="s">
        <v>1</v>
      </c>
      <c r="B4" s="110" t="s">
        <v>2</v>
      </c>
      <c r="C4" s="110" t="s">
        <v>3</v>
      </c>
      <c r="D4" s="110"/>
      <c r="E4" s="110"/>
      <c r="F4" s="110"/>
      <c r="G4" s="110"/>
      <c r="H4" s="110"/>
      <c r="I4" s="110" t="s">
        <v>4</v>
      </c>
      <c r="J4" s="111"/>
      <c r="K4" s="111"/>
      <c r="L4" s="111"/>
      <c r="M4" s="111"/>
      <c r="N4" s="111"/>
      <c r="O4" s="110" t="s">
        <v>5</v>
      </c>
      <c r="P4" s="111"/>
      <c r="Q4" s="111"/>
      <c r="R4" s="111"/>
      <c r="S4" s="111"/>
      <c r="T4" s="111"/>
      <c r="U4" s="4"/>
      <c r="V4" s="5"/>
      <c r="W4" s="5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</row>
    <row r="5" spans="1:183" s="6" customFormat="1" ht="41.25" customHeight="1">
      <c r="A5" s="110"/>
      <c r="B5" s="110"/>
      <c r="C5" s="110" t="s">
        <v>6</v>
      </c>
      <c r="D5" s="110" t="s">
        <v>7</v>
      </c>
      <c r="E5" s="110"/>
      <c r="F5" s="110" t="s">
        <v>8</v>
      </c>
      <c r="G5" s="110"/>
      <c r="H5" s="116" t="s">
        <v>9</v>
      </c>
      <c r="I5" s="110" t="s">
        <v>6</v>
      </c>
      <c r="J5" s="110" t="s">
        <v>7</v>
      </c>
      <c r="K5" s="110"/>
      <c r="L5" s="110" t="s">
        <v>8</v>
      </c>
      <c r="M5" s="110"/>
      <c r="N5" s="116" t="s">
        <v>9</v>
      </c>
      <c r="O5" s="110" t="s">
        <v>10</v>
      </c>
      <c r="P5" s="110" t="s">
        <v>7</v>
      </c>
      <c r="Q5" s="110"/>
      <c r="R5" s="110" t="s">
        <v>8</v>
      </c>
      <c r="S5" s="110"/>
      <c r="T5" s="116" t="s">
        <v>9</v>
      </c>
      <c r="U5" s="110" t="s">
        <v>11</v>
      </c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s="6" customFormat="1" ht="60" customHeight="1">
      <c r="A6" s="110"/>
      <c r="B6" s="110"/>
      <c r="C6" s="110"/>
      <c r="D6" s="69" t="s">
        <v>12</v>
      </c>
      <c r="E6" s="69" t="s">
        <v>13</v>
      </c>
      <c r="F6" s="69" t="s">
        <v>12</v>
      </c>
      <c r="G6" s="69" t="s">
        <v>13</v>
      </c>
      <c r="H6" s="116"/>
      <c r="I6" s="110"/>
      <c r="J6" s="7" t="s">
        <v>12</v>
      </c>
      <c r="K6" s="69" t="s">
        <v>13</v>
      </c>
      <c r="L6" s="69" t="s">
        <v>12</v>
      </c>
      <c r="M6" s="69" t="s">
        <v>13</v>
      </c>
      <c r="N6" s="116"/>
      <c r="O6" s="110"/>
      <c r="P6" s="69" t="s">
        <v>12</v>
      </c>
      <c r="Q6" s="69" t="s">
        <v>13</v>
      </c>
      <c r="R6" s="69" t="s">
        <v>12</v>
      </c>
      <c r="S6" s="69" t="s">
        <v>13</v>
      </c>
      <c r="T6" s="116"/>
      <c r="U6" s="110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</row>
    <row r="7" spans="1:183" ht="42.75" customHeight="1">
      <c r="A7" s="8">
        <v>1</v>
      </c>
      <c r="B7" s="9" t="s">
        <v>14</v>
      </c>
      <c r="C7" s="10">
        <f>'July 2022'!H7</f>
        <v>141.97000000000065</v>
      </c>
      <c r="D7" s="10">
        <v>0</v>
      </c>
      <c r="E7" s="10">
        <f>'July 2022'!E7+'aug 2022'!D7</f>
        <v>47.73</v>
      </c>
      <c r="F7" s="10">
        <v>0</v>
      </c>
      <c r="G7" s="10">
        <f>'July 2022'!G7+'aug 2022'!F7</f>
        <v>66.8</v>
      </c>
      <c r="H7" s="72">
        <f>C7+D7-F7</f>
        <v>141.97000000000065</v>
      </c>
      <c r="I7" s="10">
        <f>'July 2022'!N7</f>
        <v>158.77499999999995</v>
      </c>
      <c r="J7" s="10">
        <v>7.0000000000000007E-2</v>
      </c>
      <c r="K7" s="10">
        <f>'July 2022'!K7+'aug 2022'!J7</f>
        <v>28.080000000000002</v>
      </c>
      <c r="L7" s="10">
        <v>0</v>
      </c>
      <c r="M7" s="10">
        <f>'July 2022'!M7+'aug 2022'!L7</f>
        <v>0.04</v>
      </c>
      <c r="N7" s="72">
        <f>I7+J7-L7</f>
        <v>158.84499999999994</v>
      </c>
      <c r="O7" s="11">
        <f>'July 2022'!T7</f>
        <v>284.1400000000001</v>
      </c>
      <c r="P7" s="10">
        <v>0</v>
      </c>
      <c r="Q7" s="10">
        <f>'July 2022'!Q7+'aug 2022'!P7</f>
        <v>0.46</v>
      </c>
      <c r="R7" s="10">
        <v>0</v>
      </c>
      <c r="S7" s="10">
        <f>'July 2022'!S7+'aug 2022'!R7</f>
        <v>0</v>
      </c>
      <c r="T7" s="82">
        <f>O7+P7-R7</f>
        <v>284.1400000000001</v>
      </c>
      <c r="U7" s="11">
        <f>H7+N7+T7</f>
        <v>584.95500000000072</v>
      </c>
      <c r="V7" s="12"/>
      <c r="W7" s="12"/>
    </row>
    <row r="8" spans="1:183" ht="42.75" customHeight="1">
      <c r="A8" s="8">
        <v>2</v>
      </c>
      <c r="B8" s="9" t="s">
        <v>15</v>
      </c>
      <c r="C8" s="10">
        <f>'July 2022'!H8</f>
        <v>497.55499999999995</v>
      </c>
      <c r="D8" s="10">
        <v>0.09</v>
      </c>
      <c r="E8" s="10">
        <f>'July 2022'!E8+'aug 2022'!D8</f>
        <v>0.36</v>
      </c>
      <c r="F8" s="10">
        <v>0</v>
      </c>
      <c r="G8" s="10">
        <f>'July 2022'!G8+'aug 2022'!F8</f>
        <v>0.19</v>
      </c>
      <c r="H8" s="72">
        <f t="shared" ref="H8:H53" si="0">C8+D8-F8</f>
        <v>497.64499999999992</v>
      </c>
      <c r="I8" s="10">
        <f>'July 2022'!N8</f>
        <v>123.452</v>
      </c>
      <c r="J8" s="10">
        <v>2.5299999999999998</v>
      </c>
      <c r="K8" s="10">
        <f>'July 2022'!K8+'aug 2022'!J8</f>
        <v>5.952</v>
      </c>
      <c r="L8" s="10">
        <v>0</v>
      </c>
      <c r="M8" s="10">
        <f>'July 2022'!M8+'aug 2022'!L8</f>
        <v>0</v>
      </c>
      <c r="N8" s="72">
        <f t="shared" ref="N8:N48" si="1">I8+J8-L8</f>
        <v>125.982</v>
      </c>
      <c r="O8" s="11">
        <f>'July 2022'!T8</f>
        <v>222.27000000000004</v>
      </c>
      <c r="P8" s="10">
        <v>0</v>
      </c>
      <c r="Q8" s="10">
        <f>'July 2022'!Q8+'aug 2022'!P8</f>
        <v>34.629999999999995</v>
      </c>
      <c r="R8" s="10">
        <v>0</v>
      </c>
      <c r="S8" s="10">
        <f>'July 2022'!S8+'aug 2022'!R8</f>
        <v>0</v>
      </c>
      <c r="T8" s="82">
        <f t="shared" ref="T8:T48" si="2">O8+P8-R8</f>
        <v>222.27000000000004</v>
      </c>
      <c r="U8" s="11">
        <f t="shared" ref="U8:U48" si="3">H8+N8+T8</f>
        <v>845.89699999999993</v>
      </c>
      <c r="V8" s="12"/>
      <c r="W8" s="12"/>
    </row>
    <row r="9" spans="1:183" ht="42.75" customHeight="1">
      <c r="A9" s="8">
        <v>3</v>
      </c>
      <c r="B9" s="9" t="s">
        <v>16</v>
      </c>
      <c r="C9" s="10">
        <f>'July 2022'!H9</f>
        <v>653.9599999999997</v>
      </c>
      <c r="D9" s="10">
        <v>0</v>
      </c>
      <c r="E9" s="10">
        <f>'July 2022'!E9+'aug 2022'!D9</f>
        <v>0</v>
      </c>
      <c r="F9" s="10">
        <v>0</v>
      </c>
      <c r="G9" s="10">
        <f>'July 2022'!G9+'aug 2022'!F9</f>
        <v>90</v>
      </c>
      <c r="H9" s="72">
        <f t="shared" si="0"/>
        <v>653.9599999999997</v>
      </c>
      <c r="I9" s="10">
        <f>'July 2022'!N9</f>
        <v>202.28300000000004</v>
      </c>
      <c r="J9" s="10">
        <v>0.47099999999999997</v>
      </c>
      <c r="K9" s="10">
        <f>'July 2022'!K9+'aug 2022'!J9</f>
        <v>5.4209999999999994</v>
      </c>
      <c r="L9" s="10">
        <v>0</v>
      </c>
      <c r="M9" s="10">
        <f>'July 2022'!M9+'aug 2022'!L9</f>
        <v>0</v>
      </c>
      <c r="N9" s="72">
        <f t="shared" si="1"/>
        <v>202.75400000000005</v>
      </c>
      <c r="O9" s="11">
        <f>'July 2022'!T9</f>
        <v>157.63999999999999</v>
      </c>
      <c r="P9" s="10">
        <v>0</v>
      </c>
      <c r="Q9" s="10">
        <f>'July 2022'!Q9+'aug 2022'!P9</f>
        <v>16.2</v>
      </c>
      <c r="R9" s="10">
        <v>0</v>
      </c>
      <c r="S9" s="10">
        <f>'July 2022'!S9+'aug 2022'!R9</f>
        <v>0</v>
      </c>
      <c r="T9" s="82">
        <f t="shared" si="2"/>
        <v>157.63999999999999</v>
      </c>
      <c r="U9" s="11">
        <f t="shared" si="3"/>
        <v>1014.3539999999997</v>
      </c>
      <c r="V9" s="12"/>
      <c r="W9" s="12"/>
    </row>
    <row r="10" spans="1:183" ht="42.75" customHeight="1">
      <c r="A10" s="8">
        <v>4</v>
      </c>
      <c r="B10" s="13" t="s">
        <v>17</v>
      </c>
      <c r="C10" s="10">
        <f>'July 2022'!H10</f>
        <v>0</v>
      </c>
      <c r="D10" s="10">
        <v>0</v>
      </c>
      <c r="E10" s="10">
        <f>'July 2022'!E10+'aug 2022'!D10</f>
        <v>0</v>
      </c>
      <c r="F10" s="10">
        <v>0</v>
      </c>
      <c r="G10" s="10">
        <f>'July 2022'!G10+'aug 2022'!F10</f>
        <v>0</v>
      </c>
      <c r="H10" s="72">
        <f t="shared" si="0"/>
        <v>0</v>
      </c>
      <c r="I10" s="10">
        <f>'July 2022'!N10</f>
        <v>142.78400000000008</v>
      </c>
      <c r="J10" s="10">
        <v>0.56000000000000005</v>
      </c>
      <c r="K10" s="10">
        <f>'July 2022'!K10+'aug 2022'!J10</f>
        <v>1.31</v>
      </c>
      <c r="L10" s="10">
        <v>0</v>
      </c>
      <c r="M10" s="10">
        <f>'July 2022'!M10+'aug 2022'!L10</f>
        <v>0</v>
      </c>
      <c r="N10" s="72">
        <f t="shared" si="1"/>
        <v>143.34400000000008</v>
      </c>
      <c r="O10" s="11">
        <f>'July 2022'!T10</f>
        <v>234.24999999999997</v>
      </c>
      <c r="P10" s="10">
        <v>0</v>
      </c>
      <c r="Q10" s="10">
        <f>'July 2022'!Q10+'aug 2022'!P10</f>
        <v>1.08</v>
      </c>
      <c r="R10" s="10">
        <v>0</v>
      </c>
      <c r="S10" s="10">
        <f>'July 2022'!S10+'aug 2022'!R10</f>
        <v>0</v>
      </c>
      <c r="T10" s="82">
        <f t="shared" si="2"/>
        <v>234.24999999999997</v>
      </c>
      <c r="U10" s="11">
        <f t="shared" si="3"/>
        <v>377.59400000000005</v>
      </c>
      <c r="V10" s="12"/>
      <c r="W10" s="12"/>
    </row>
    <row r="11" spans="1:183" s="17" customFormat="1" ht="42.75" customHeight="1">
      <c r="A11" s="14"/>
      <c r="B11" s="15" t="s">
        <v>18</v>
      </c>
      <c r="C11" s="16">
        <f>'July 2022'!H11</f>
        <v>1293.4850000000001</v>
      </c>
      <c r="D11" s="16">
        <f t="shared" ref="D11:U11" si="4">SUM(D7:D10)</f>
        <v>0.09</v>
      </c>
      <c r="E11" s="16">
        <f>'July 2022'!E11+'aug 2022'!D11</f>
        <v>48.09</v>
      </c>
      <c r="F11" s="16">
        <f t="shared" si="4"/>
        <v>0</v>
      </c>
      <c r="G11" s="16">
        <f>'July 2022'!G11+'aug 2022'!F11</f>
        <v>156.99</v>
      </c>
      <c r="H11" s="58">
        <f t="shared" si="4"/>
        <v>1293.5750000000003</v>
      </c>
      <c r="I11" s="16">
        <f>'July 2022'!N11</f>
        <v>627.2940000000001</v>
      </c>
      <c r="J11" s="16">
        <f t="shared" si="4"/>
        <v>3.6309999999999998</v>
      </c>
      <c r="K11" s="16">
        <f>'July 2022'!K11+'aug 2022'!J11</f>
        <v>40.763000000000005</v>
      </c>
      <c r="L11" s="16">
        <f t="shared" si="4"/>
        <v>0</v>
      </c>
      <c r="M11" s="16">
        <f>'July 2022'!M11+'aug 2022'!L11</f>
        <v>0.04</v>
      </c>
      <c r="N11" s="58">
        <f t="shared" si="4"/>
        <v>630.92500000000007</v>
      </c>
      <c r="O11" s="47">
        <f>'July 2022'!T11</f>
        <v>898.30000000000018</v>
      </c>
      <c r="P11" s="16">
        <f t="shared" si="4"/>
        <v>0</v>
      </c>
      <c r="Q11" s="16">
        <f>'July 2022'!Q11+'aug 2022'!P11</f>
        <v>52.36999999999999</v>
      </c>
      <c r="R11" s="16">
        <f t="shared" si="4"/>
        <v>0</v>
      </c>
      <c r="S11" s="16">
        <f>'July 2022'!S11+'aug 2022'!R11</f>
        <v>0</v>
      </c>
      <c r="T11" s="58">
        <f t="shared" si="4"/>
        <v>898.30000000000018</v>
      </c>
      <c r="U11" s="16">
        <f t="shared" si="4"/>
        <v>2822.8000000000006</v>
      </c>
      <c r="V11" s="70"/>
      <c r="W11" s="70"/>
    </row>
    <row r="12" spans="1:183" ht="42.75" customHeight="1">
      <c r="A12" s="8">
        <v>5</v>
      </c>
      <c r="B12" s="9" t="s">
        <v>19</v>
      </c>
      <c r="C12" s="10">
        <f>'July 2022'!H12</f>
        <v>1653.4899999999991</v>
      </c>
      <c r="D12" s="10">
        <v>0</v>
      </c>
      <c r="E12" s="10">
        <f>'July 2022'!E12+'aug 2022'!D12</f>
        <v>0</v>
      </c>
      <c r="F12" s="10">
        <v>0</v>
      </c>
      <c r="G12" s="10">
        <f>'July 2022'!G12+'aug 2022'!F12</f>
        <v>0</v>
      </c>
      <c r="H12" s="72">
        <f t="shared" si="0"/>
        <v>1653.4899999999991</v>
      </c>
      <c r="I12" s="10">
        <f>'July 2022'!N12</f>
        <v>122.57300000000002</v>
      </c>
      <c r="J12" s="10">
        <v>0.27</v>
      </c>
      <c r="K12" s="10">
        <f>'July 2022'!K12+'aug 2022'!J12</f>
        <v>1.21</v>
      </c>
      <c r="L12" s="10">
        <v>0</v>
      </c>
      <c r="M12" s="10">
        <f>'July 2022'!M12+'aug 2022'!L12</f>
        <v>0</v>
      </c>
      <c r="N12" s="72">
        <f t="shared" si="1"/>
        <v>122.84300000000002</v>
      </c>
      <c r="O12" s="11">
        <f>'July 2022'!T12</f>
        <v>641.9</v>
      </c>
      <c r="P12" s="10">
        <v>0</v>
      </c>
      <c r="Q12" s="10">
        <f>'July 2022'!Q12+'aug 2022'!P12</f>
        <v>62.989999999999995</v>
      </c>
      <c r="R12" s="10">
        <v>0</v>
      </c>
      <c r="S12" s="10">
        <f>'July 2022'!S12+'aug 2022'!R12</f>
        <v>0</v>
      </c>
      <c r="T12" s="82">
        <f t="shared" si="2"/>
        <v>641.9</v>
      </c>
      <c r="U12" s="11">
        <f t="shared" si="3"/>
        <v>2418.2329999999993</v>
      </c>
      <c r="V12" s="12"/>
      <c r="W12" s="12"/>
    </row>
    <row r="13" spans="1:183" ht="42.75" customHeight="1">
      <c r="A13" s="8">
        <v>6</v>
      </c>
      <c r="B13" s="9" t="s">
        <v>20</v>
      </c>
      <c r="C13" s="10">
        <f>'July 2022'!H13</f>
        <v>1023.7699999999998</v>
      </c>
      <c r="D13" s="10">
        <v>0</v>
      </c>
      <c r="E13" s="10">
        <f>'July 2022'!E13+'aug 2022'!D13</f>
        <v>0</v>
      </c>
      <c r="F13" s="10">
        <v>0</v>
      </c>
      <c r="G13" s="10">
        <f>'July 2022'!G13+'aug 2022'!F13</f>
        <v>0</v>
      </c>
      <c r="H13" s="72">
        <f t="shared" si="0"/>
        <v>1023.7699999999998</v>
      </c>
      <c r="I13" s="10">
        <f>'July 2022'!N13</f>
        <v>150.5140000000001</v>
      </c>
      <c r="J13" s="10">
        <v>0.28000000000000003</v>
      </c>
      <c r="K13" s="10">
        <f>'July 2022'!K13+'aug 2022'!J13</f>
        <v>3.2</v>
      </c>
      <c r="L13" s="10">
        <v>0</v>
      </c>
      <c r="M13" s="10">
        <f>'July 2022'!M13+'aug 2022'!L13</f>
        <v>0.72</v>
      </c>
      <c r="N13" s="72">
        <f t="shared" si="1"/>
        <v>150.7940000000001</v>
      </c>
      <c r="O13" s="11">
        <f>'July 2022'!T13</f>
        <v>87.2</v>
      </c>
      <c r="P13" s="10">
        <v>0</v>
      </c>
      <c r="Q13" s="10">
        <f>'July 2022'!Q13+'aug 2022'!P13</f>
        <v>0.67</v>
      </c>
      <c r="R13" s="10">
        <v>0</v>
      </c>
      <c r="S13" s="10">
        <f>'July 2022'!S13+'aug 2022'!R13</f>
        <v>0</v>
      </c>
      <c r="T13" s="82">
        <f t="shared" si="2"/>
        <v>87.2</v>
      </c>
      <c r="U13" s="11">
        <f t="shared" si="3"/>
        <v>1261.7639999999999</v>
      </c>
      <c r="V13" s="12"/>
      <c r="W13" s="12"/>
    </row>
    <row r="14" spans="1:183" ht="42.75" customHeight="1">
      <c r="A14" s="8">
        <v>7</v>
      </c>
      <c r="B14" s="9" t="s">
        <v>21</v>
      </c>
      <c r="C14" s="10">
        <f>'July 2022'!H14</f>
        <v>2084.5799999999995</v>
      </c>
      <c r="D14" s="10">
        <v>0</v>
      </c>
      <c r="E14" s="10">
        <f>'July 2022'!E14+'aug 2022'!D14</f>
        <v>0</v>
      </c>
      <c r="F14" s="10">
        <v>0</v>
      </c>
      <c r="G14" s="10">
        <f>'July 2022'!G14+'aug 2022'!F14</f>
        <v>0</v>
      </c>
      <c r="H14" s="72">
        <f t="shared" si="0"/>
        <v>2084.5799999999995</v>
      </c>
      <c r="I14" s="10">
        <f>'July 2022'!N14</f>
        <v>195.34399999999997</v>
      </c>
      <c r="J14" s="10">
        <v>3.07</v>
      </c>
      <c r="K14" s="10">
        <f>'July 2022'!K14+'aug 2022'!J14</f>
        <v>4.5600000000000005</v>
      </c>
      <c r="L14" s="10">
        <v>0</v>
      </c>
      <c r="M14" s="10">
        <f>'July 2022'!M14+'aug 2022'!L14</f>
        <v>0</v>
      </c>
      <c r="N14" s="72">
        <f t="shared" si="1"/>
        <v>198.41399999999996</v>
      </c>
      <c r="O14" s="11">
        <f>'July 2022'!T14</f>
        <v>403.09999999999991</v>
      </c>
      <c r="P14" s="10">
        <v>0</v>
      </c>
      <c r="Q14" s="10">
        <f>'July 2022'!Q14+'aug 2022'!P14</f>
        <v>50.94</v>
      </c>
      <c r="R14" s="10">
        <v>0</v>
      </c>
      <c r="S14" s="10">
        <f>'July 2022'!S14+'aug 2022'!R14</f>
        <v>0</v>
      </c>
      <c r="T14" s="82">
        <f t="shared" si="2"/>
        <v>403.09999999999991</v>
      </c>
      <c r="U14" s="11">
        <f t="shared" si="3"/>
        <v>2686.0939999999991</v>
      </c>
      <c r="V14" s="12"/>
      <c r="W14" s="12"/>
    </row>
    <row r="15" spans="1:183" s="17" customFormat="1" ht="42.75" customHeight="1">
      <c r="A15" s="14" t="s">
        <v>22</v>
      </c>
      <c r="B15" s="15" t="s">
        <v>23</v>
      </c>
      <c r="C15" s="16">
        <f>'July 2022'!H15</f>
        <v>4761.8399999999983</v>
      </c>
      <c r="D15" s="16">
        <f t="shared" ref="D15:U15" si="5">SUM(D12:D14)</f>
        <v>0</v>
      </c>
      <c r="E15" s="16">
        <f>'July 2022'!E15+'aug 2022'!D15</f>
        <v>0</v>
      </c>
      <c r="F15" s="16">
        <f t="shared" si="5"/>
        <v>0</v>
      </c>
      <c r="G15" s="16">
        <f>'July 2022'!G15+'aug 2022'!F15</f>
        <v>0</v>
      </c>
      <c r="H15" s="58">
        <f t="shared" si="5"/>
        <v>4761.8399999999983</v>
      </c>
      <c r="I15" s="16">
        <f>'July 2022'!N15</f>
        <v>468.43100000000004</v>
      </c>
      <c r="J15" s="16">
        <f t="shared" si="5"/>
        <v>3.62</v>
      </c>
      <c r="K15" s="16">
        <f>'July 2022'!K15+'aug 2022'!J15</f>
        <v>8.9700000000000006</v>
      </c>
      <c r="L15" s="16">
        <f t="shared" si="5"/>
        <v>0</v>
      </c>
      <c r="M15" s="16">
        <f>'July 2022'!M15+'aug 2022'!L15</f>
        <v>0.72</v>
      </c>
      <c r="N15" s="58">
        <f t="shared" si="5"/>
        <v>472.05100000000004</v>
      </c>
      <c r="O15" s="47">
        <f>'July 2022'!T15</f>
        <v>1132.1999999999998</v>
      </c>
      <c r="P15" s="16">
        <f t="shared" si="5"/>
        <v>0</v>
      </c>
      <c r="Q15" s="16">
        <f>'July 2022'!Q15+'aug 2022'!P15</f>
        <v>114.6</v>
      </c>
      <c r="R15" s="16">
        <f t="shared" si="5"/>
        <v>0</v>
      </c>
      <c r="S15" s="16">
        <f>'July 2022'!S15+'aug 2022'!R15</f>
        <v>0</v>
      </c>
      <c r="T15" s="58">
        <f t="shared" si="5"/>
        <v>1132.1999999999998</v>
      </c>
      <c r="U15" s="16">
        <f t="shared" si="5"/>
        <v>6366.0909999999985</v>
      </c>
      <c r="V15" s="70"/>
      <c r="W15" s="70"/>
    </row>
    <row r="16" spans="1:183" ht="42.75" customHeight="1">
      <c r="A16" s="8">
        <v>8</v>
      </c>
      <c r="B16" s="9" t="s">
        <v>24</v>
      </c>
      <c r="C16" s="10">
        <f>'July 2022'!H16</f>
        <v>1756.4719999999993</v>
      </c>
      <c r="D16" s="10">
        <v>2.1</v>
      </c>
      <c r="E16" s="10">
        <f>'July 2022'!E16+'aug 2022'!D16</f>
        <v>13.459999999999999</v>
      </c>
      <c r="F16" s="10">
        <v>0</v>
      </c>
      <c r="G16" s="10">
        <f>'July 2022'!G16+'aug 2022'!F16</f>
        <v>1.5</v>
      </c>
      <c r="H16" s="72">
        <f t="shared" si="0"/>
        <v>1758.5719999999992</v>
      </c>
      <c r="I16" s="10">
        <f>'July 2022'!N16</f>
        <v>111.94000000000001</v>
      </c>
      <c r="J16" s="10">
        <v>0.12</v>
      </c>
      <c r="K16" s="10">
        <f>'July 2022'!K16+'aug 2022'!J16</f>
        <v>1.04</v>
      </c>
      <c r="L16" s="10">
        <v>0</v>
      </c>
      <c r="M16" s="10">
        <f>'July 2022'!M16+'aug 2022'!L16</f>
        <v>0</v>
      </c>
      <c r="N16" s="72">
        <f t="shared" si="1"/>
        <v>112.06000000000002</v>
      </c>
      <c r="O16" s="11">
        <f>'July 2022'!T16</f>
        <v>132.959</v>
      </c>
      <c r="P16" s="10">
        <v>2.74</v>
      </c>
      <c r="Q16" s="10">
        <f>'July 2022'!Q16+'aug 2022'!P16</f>
        <v>24.300000000000004</v>
      </c>
      <c r="R16" s="10">
        <v>0</v>
      </c>
      <c r="S16" s="10">
        <f>'July 2022'!S16+'aug 2022'!R16</f>
        <v>0</v>
      </c>
      <c r="T16" s="82">
        <f t="shared" si="2"/>
        <v>135.69900000000001</v>
      </c>
      <c r="U16" s="11">
        <f t="shared" si="3"/>
        <v>2006.3309999999992</v>
      </c>
      <c r="V16" s="12"/>
      <c r="W16" s="12"/>
    </row>
    <row r="17" spans="1:23" ht="57.75" customHeight="1">
      <c r="A17" s="8">
        <v>9</v>
      </c>
      <c r="B17" s="9" t="s">
        <v>25</v>
      </c>
      <c r="C17" s="10">
        <f>'July 2022'!H17</f>
        <v>239.35399999999987</v>
      </c>
      <c r="D17" s="10">
        <v>0</v>
      </c>
      <c r="E17" s="10">
        <f>'July 2022'!E17+'aug 2022'!D17</f>
        <v>39.92</v>
      </c>
      <c r="F17" s="10">
        <v>0</v>
      </c>
      <c r="G17" s="10">
        <f>'July 2022'!G17+'aug 2022'!F17</f>
        <v>0</v>
      </c>
      <c r="H17" s="72">
        <f t="shared" si="0"/>
        <v>239.35399999999987</v>
      </c>
      <c r="I17" s="10">
        <f>'July 2022'!N17</f>
        <v>25.556999999999995</v>
      </c>
      <c r="J17" s="10">
        <v>0</v>
      </c>
      <c r="K17" s="10">
        <f>'July 2022'!K17+'aug 2022'!J17</f>
        <v>4.47</v>
      </c>
      <c r="L17" s="10">
        <v>0</v>
      </c>
      <c r="M17" s="10">
        <f>'July 2022'!M17+'aug 2022'!L17</f>
        <v>0.99</v>
      </c>
      <c r="N17" s="72">
        <f t="shared" si="1"/>
        <v>25.556999999999995</v>
      </c>
      <c r="O17" s="11">
        <f>'July 2022'!T17</f>
        <v>408.12100000000004</v>
      </c>
      <c r="P17" s="10">
        <v>0</v>
      </c>
      <c r="Q17" s="10">
        <f>'July 2022'!Q17+'aug 2022'!P17</f>
        <v>70.81</v>
      </c>
      <c r="R17" s="10">
        <v>0</v>
      </c>
      <c r="S17" s="10">
        <f>'July 2022'!S17+'aug 2022'!R17</f>
        <v>70.959999999999994</v>
      </c>
      <c r="T17" s="82">
        <f t="shared" si="2"/>
        <v>408.12100000000004</v>
      </c>
      <c r="U17" s="11">
        <f t="shared" si="3"/>
        <v>673.03199999999993</v>
      </c>
      <c r="V17" s="12"/>
      <c r="W17" s="12"/>
    </row>
    <row r="18" spans="1:23" ht="42.75" customHeight="1">
      <c r="A18" s="8">
        <v>10</v>
      </c>
      <c r="B18" s="9" t="s">
        <v>26</v>
      </c>
      <c r="C18" s="10">
        <f>'July 2022'!H18</f>
        <v>669.86499999999933</v>
      </c>
      <c r="D18" s="10">
        <v>0</v>
      </c>
      <c r="E18" s="10">
        <f>'July 2022'!E18+'aug 2022'!D18</f>
        <v>0</v>
      </c>
      <c r="F18" s="10">
        <v>0</v>
      </c>
      <c r="G18" s="10">
        <f>'July 2022'!G18+'aug 2022'!F18</f>
        <v>0</v>
      </c>
      <c r="H18" s="72">
        <f t="shared" si="0"/>
        <v>669.86499999999933</v>
      </c>
      <c r="I18" s="10">
        <f>'July 2022'!N18</f>
        <v>17.199999999999989</v>
      </c>
      <c r="J18" s="10">
        <v>0</v>
      </c>
      <c r="K18" s="10">
        <f>'July 2022'!K18+'aug 2022'!J18</f>
        <v>0.83</v>
      </c>
      <c r="L18" s="10">
        <v>0</v>
      </c>
      <c r="M18" s="10">
        <f>'July 2022'!M18+'aug 2022'!L18</f>
        <v>0</v>
      </c>
      <c r="N18" s="72">
        <f t="shared" si="1"/>
        <v>17.199999999999989</v>
      </c>
      <c r="O18" s="11">
        <f>'July 2022'!T18</f>
        <v>239.708</v>
      </c>
      <c r="P18" s="10">
        <v>0</v>
      </c>
      <c r="Q18" s="10">
        <f>'July 2022'!Q18+'aug 2022'!P18</f>
        <v>44.81</v>
      </c>
      <c r="R18" s="10">
        <v>0</v>
      </c>
      <c r="S18" s="10">
        <f>'July 2022'!S18+'aug 2022'!R18</f>
        <v>0</v>
      </c>
      <c r="T18" s="82">
        <f t="shared" si="2"/>
        <v>239.708</v>
      </c>
      <c r="U18" s="11">
        <f t="shared" si="3"/>
        <v>926.77299999999934</v>
      </c>
      <c r="V18" s="12"/>
      <c r="W18" s="12"/>
    </row>
    <row r="19" spans="1:23" s="17" customFormat="1" ht="42.75" customHeight="1">
      <c r="A19" s="14"/>
      <c r="B19" s="15" t="s">
        <v>27</v>
      </c>
      <c r="C19" s="16">
        <f>'July 2022'!H19</f>
        <v>2665.6909999999984</v>
      </c>
      <c r="D19" s="16">
        <f t="shared" ref="D19:U19" si="6">SUM(D16:D18)</f>
        <v>2.1</v>
      </c>
      <c r="E19" s="16">
        <f>'July 2022'!E19+'aug 2022'!D19</f>
        <v>53.38</v>
      </c>
      <c r="F19" s="16">
        <f t="shared" si="6"/>
        <v>0</v>
      </c>
      <c r="G19" s="16">
        <f>'July 2022'!G19+'aug 2022'!F19</f>
        <v>1.5</v>
      </c>
      <c r="H19" s="58">
        <f t="shared" si="6"/>
        <v>2667.7909999999983</v>
      </c>
      <c r="I19" s="16">
        <f>'July 2022'!N19</f>
        <v>154.697</v>
      </c>
      <c r="J19" s="16">
        <f t="shared" si="6"/>
        <v>0.12</v>
      </c>
      <c r="K19" s="16">
        <f>'July 2022'!K19+'aug 2022'!J19</f>
        <v>6.34</v>
      </c>
      <c r="L19" s="16">
        <f t="shared" si="6"/>
        <v>0</v>
      </c>
      <c r="M19" s="16">
        <f>'July 2022'!M19+'aug 2022'!L19</f>
        <v>0.99</v>
      </c>
      <c r="N19" s="58">
        <f t="shared" si="6"/>
        <v>154.81700000000001</v>
      </c>
      <c r="O19" s="47">
        <f>'July 2022'!T19</f>
        <v>780.78800000000001</v>
      </c>
      <c r="P19" s="16">
        <f t="shared" si="6"/>
        <v>2.74</v>
      </c>
      <c r="Q19" s="16">
        <f>'July 2022'!Q19+'aug 2022'!P19</f>
        <v>139.92000000000002</v>
      </c>
      <c r="R19" s="16">
        <f t="shared" si="6"/>
        <v>0</v>
      </c>
      <c r="S19" s="16">
        <f>'July 2022'!S19+'aug 2022'!R19</f>
        <v>70.959999999999994</v>
      </c>
      <c r="T19" s="58">
        <f t="shared" si="6"/>
        <v>783.52800000000002</v>
      </c>
      <c r="U19" s="16">
        <f t="shared" si="6"/>
        <v>3606.1359999999986</v>
      </c>
      <c r="V19" s="70"/>
      <c r="W19" s="70"/>
    </row>
    <row r="20" spans="1:23" ht="42.75" customHeight="1">
      <c r="A20" s="8">
        <v>11</v>
      </c>
      <c r="B20" s="9" t="s">
        <v>28</v>
      </c>
      <c r="C20" s="10">
        <f>'July 2022'!H20</f>
        <v>1024.3949999999993</v>
      </c>
      <c r="D20" s="10">
        <v>0.03</v>
      </c>
      <c r="E20" s="10">
        <f>'July 2022'!E20+'aug 2022'!D20</f>
        <v>0.88</v>
      </c>
      <c r="F20" s="10">
        <v>0</v>
      </c>
      <c r="G20" s="10">
        <f>'July 2022'!G20+'aug 2022'!F20</f>
        <v>180</v>
      </c>
      <c r="H20" s="72">
        <f t="shared" si="0"/>
        <v>1024.4249999999993</v>
      </c>
      <c r="I20" s="10">
        <f>'July 2022'!N20</f>
        <v>153.33100000000005</v>
      </c>
      <c r="J20" s="10">
        <v>0.27</v>
      </c>
      <c r="K20" s="10">
        <f>'July 2022'!K20+'aug 2022'!J20</f>
        <v>1.3</v>
      </c>
      <c r="L20" s="10">
        <v>0</v>
      </c>
      <c r="M20" s="10">
        <f>'July 2022'!M20+'aug 2022'!L20</f>
        <v>0</v>
      </c>
      <c r="N20" s="72">
        <f t="shared" si="1"/>
        <v>153.60100000000006</v>
      </c>
      <c r="O20" s="11">
        <f>'July 2022'!T20</f>
        <v>715.84099999999989</v>
      </c>
      <c r="P20" s="10">
        <v>25.17</v>
      </c>
      <c r="Q20" s="10">
        <f>'July 2022'!Q20+'aug 2022'!P20</f>
        <v>399.08000000000004</v>
      </c>
      <c r="R20" s="10">
        <v>0</v>
      </c>
      <c r="S20" s="10">
        <f>'July 2022'!S20+'aug 2022'!R20</f>
        <v>0</v>
      </c>
      <c r="T20" s="82">
        <f t="shared" si="2"/>
        <v>741.01099999999985</v>
      </c>
      <c r="U20" s="11">
        <f t="shared" si="3"/>
        <v>1919.0369999999994</v>
      </c>
      <c r="V20" s="12"/>
      <c r="W20" s="12"/>
    </row>
    <row r="21" spans="1:23" ht="42.75" customHeight="1">
      <c r="A21" s="8">
        <v>12</v>
      </c>
      <c r="B21" s="9" t="s">
        <v>29</v>
      </c>
      <c r="C21" s="10">
        <f>'July 2022'!H21</f>
        <v>142.68999999999988</v>
      </c>
      <c r="D21" s="10">
        <v>0</v>
      </c>
      <c r="E21" s="10">
        <f>'July 2022'!E21+'aug 2022'!D21</f>
        <v>0</v>
      </c>
      <c r="F21" s="10">
        <v>0</v>
      </c>
      <c r="G21" s="10">
        <f>'July 2022'!G21+'aug 2022'!F21</f>
        <v>0</v>
      </c>
      <c r="H21" s="72">
        <f t="shared" si="0"/>
        <v>142.68999999999988</v>
      </c>
      <c r="I21" s="10">
        <f>'July 2022'!N21</f>
        <v>50.573000000000022</v>
      </c>
      <c r="J21" s="10">
        <v>0.08</v>
      </c>
      <c r="K21" s="10">
        <f>'July 2022'!K21+'aug 2022'!J21</f>
        <v>0.49000000000000005</v>
      </c>
      <c r="L21" s="10">
        <v>0</v>
      </c>
      <c r="M21" s="10">
        <f>'July 2022'!M21+'aug 2022'!L21</f>
        <v>0</v>
      </c>
      <c r="N21" s="72">
        <f t="shared" si="1"/>
        <v>50.65300000000002</v>
      </c>
      <c r="O21" s="11">
        <f>'July 2022'!T21</f>
        <v>288.64999999999998</v>
      </c>
      <c r="P21" s="10">
        <v>22.15</v>
      </c>
      <c r="Q21" s="10">
        <f>'July 2022'!Q21+'aug 2022'!P21</f>
        <v>44.3</v>
      </c>
      <c r="R21" s="10">
        <v>0</v>
      </c>
      <c r="S21" s="10">
        <f>'July 2022'!S21+'aug 2022'!R21</f>
        <v>0</v>
      </c>
      <c r="T21" s="82">
        <f t="shared" si="2"/>
        <v>310.79999999999995</v>
      </c>
      <c r="U21" s="11">
        <f t="shared" si="3"/>
        <v>504.14299999999986</v>
      </c>
      <c r="V21" s="12"/>
      <c r="W21" s="12"/>
    </row>
    <row r="22" spans="1:23" ht="42.75" customHeight="1">
      <c r="A22" s="8">
        <v>13</v>
      </c>
      <c r="B22" s="9" t="s">
        <v>30</v>
      </c>
      <c r="C22" s="10">
        <f>'July 2022'!H22</f>
        <v>27.069999999999879</v>
      </c>
      <c r="D22" s="10">
        <v>0</v>
      </c>
      <c r="E22" s="10">
        <f>'July 2022'!E22+'aug 2022'!D22</f>
        <v>0</v>
      </c>
      <c r="F22" s="10">
        <v>0</v>
      </c>
      <c r="G22" s="10">
        <f>'July 2022'!G22+'aug 2022'!F22</f>
        <v>0</v>
      </c>
      <c r="H22" s="72">
        <f t="shared" si="0"/>
        <v>27.069999999999879</v>
      </c>
      <c r="I22" s="10">
        <f>'July 2022'!N22</f>
        <v>15.730000000000006</v>
      </c>
      <c r="J22" s="10">
        <v>0</v>
      </c>
      <c r="K22" s="10">
        <f>'July 2022'!K22+'aug 2022'!J22</f>
        <v>0.13</v>
      </c>
      <c r="L22" s="10">
        <v>0</v>
      </c>
      <c r="M22" s="10">
        <f>'July 2022'!M22+'aug 2022'!L22</f>
        <v>0</v>
      </c>
      <c r="N22" s="72">
        <f t="shared" si="1"/>
        <v>15.730000000000006</v>
      </c>
      <c r="O22" s="11">
        <f>'July 2022'!T22</f>
        <v>686.83999999999992</v>
      </c>
      <c r="P22" s="10">
        <f>0.4+21.99</f>
        <v>22.389999999999997</v>
      </c>
      <c r="Q22" s="10">
        <f>'July 2022'!Q22+'aug 2022'!P22</f>
        <v>37.72</v>
      </c>
      <c r="R22" s="10">
        <v>0</v>
      </c>
      <c r="S22" s="10">
        <f>'July 2022'!S22+'aug 2022'!R22</f>
        <v>0</v>
      </c>
      <c r="T22" s="82">
        <f t="shared" si="2"/>
        <v>709.2299999999999</v>
      </c>
      <c r="U22" s="11">
        <f t="shared" si="3"/>
        <v>752.02999999999975</v>
      </c>
      <c r="V22" s="12"/>
      <c r="W22" s="12"/>
    </row>
    <row r="23" spans="1:23" ht="42.75" customHeight="1">
      <c r="A23" s="8">
        <v>14</v>
      </c>
      <c r="B23" s="9" t="s">
        <v>31</v>
      </c>
      <c r="C23" s="10">
        <f>'July 2022'!H23</f>
        <v>1112.3819999999998</v>
      </c>
      <c r="D23" s="10">
        <v>2.79</v>
      </c>
      <c r="E23" s="10">
        <f>'July 2022'!E23+'aug 2022'!D23</f>
        <v>17.21</v>
      </c>
      <c r="F23" s="10">
        <v>0</v>
      </c>
      <c r="G23" s="10">
        <f>'July 2022'!G23+'aug 2022'!F23</f>
        <v>75</v>
      </c>
      <c r="H23" s="72">
        <f t="shared" si="0"/>
        <v>1115.1719999999998</v>
      </c>
      <c r="I23" s="10">
        <f>'July 2022'!N23</f>
        <v>27.093999999999994</v>
      </c>
      <c r="J23" s="10">
        <v>9.69</v>
      </c>
      <c r="K23" s="10">
        <f>'July 2022'!K23+'aug 2022'!J23</f>
        <v>21.49</v>
      </c>
      <c r="L23" s="10">
        <v>0</v>
      </c>
      <c r="M23" s="10">
        <f>'July 2022'!M23+'aug 2022'!L23</f>
        <v>0</v>
      </c>
      <c r="N23" s="72">
        <f t="shared" si="1"/>
        <v>36.783999999999992</v>
      </c>
      <c r="O23" s="11">
        <f>'July 2022'!T23</f>
        <v>390.32499999999999</v>
      </c>
      <c r="P23" s="10">
        <v>7.49</v>
      </c>
      <c r="Q23" s="10">
        <f>'July 2022'!Q23+'aug 2022'!P23</f>
        <v>230.53000000000003</v>
      </c>
      <c r="R23" s="10">
        <v>0</v>
      </c>
      <c r="S23" s="10">
        <f>'July 2022'!S23+'aug 2022'!R23</f>
        <v>0</v>
      </c>
      <c r="T23" s="82">
        <f t="shared" si="2"/>
        <v>397.815</v>
      </c>
      <c r="U23" s="11">
        <f t="shared" si="3"/>
        <v>1549.7709999999997</v>
      </c>
      <c r="V23" s="12"/>
      <c r="W23" s="12"/>
    </row>
    <row r="24" spans="1:23" s="17" customFormat="1" ht="42.75" customHeight="1">
      <c r="A24" s="14"/>
      <c r="B24" s="15" t="s">
        <v>32</v>
      </c>
      <c r="C24" s="16">
        <f>'July 2022'!H24</f>
        <v>2306.5369999999989</v>
      </c>
      <c r="D24" s="16">
        <f t="shared" ref="D24:U24" si="7">SUM(D20:D23)</f>
        <v>2.82</v>
      </c>
      <c r="E24" s="16">
        <f>'July 2022'!E24+'aug 2022'!D24</f>
        <v>18.09</v>
      </c>
      <c r="F24" s="16">
        <f t="shared" si="7"/>
        <v>0</v>
      </c>
      <c r="G24" s="16">
        <f>'July 2022'!G24+'aug 2022'!F24</f>
        <v>255</v>
      </c>
      <c r="H24" s="58">
        <f t="shared" si="7"/>
        <v>2309.3569999999991</v>
      </c>
      <c r="I24" s="16">
        <f>'July 2022'!N24</f>
        <v>246.72800000000007</v>
      </c>
      <c r="J24" s="16">
        <f t="shared" si="7"/>
        <v>10.039999999999999</v>
      </c>
      <c r="K24" s="16">
        <f>'July 2022'!K24+'aug 2022'!J24</f>
        <v>23.409999999999997</v>
      </c>
      <c r="L24" s="16">
        <f t="shared" si="7"/>
        <v>0</v>
      </c>
      <c r="M24" s="16">
        <f>'July 2022'!M24+'aug 2022'!L24</f>
        <v>0</v>
      </c>
      <c r="N24" s="58">
        <f t="shared" si="7"/>
        <v>256.76800000000009</v>
      </c>
      <c r="O24" s="47">
        <f>'July 2022'!T24</f>
        <v>2081.6559999999995</v>
      </c>
      <c r="P24" s="16">
        <f t="shared" si="7"/>
        <v>77.199999999999989</v>
      </c>
      <c r="Q24" s="16">
        <f>'July 2022'!Q24+'aug 2022'!P24</f>
        <v>711.63000000000011</v>
      </c>
      <c r="R24" s="16">
        <f t="shared" si="7"/>
        <v>0</v>
      </c>
      <c r="S24" s="16">
        <f>'July 2022'!S24+'aug 2022'!R24</f>
        <v>0</v>
      </c>
      <c r="T24" s="58">
        <f t="shared" si="7"/>
        <v>2158.8559999999998</v>
      </c>
      <c r="U24" s="16">
        <f t="shared" si="7"/>
        <v>4724.9809999999989</v>
      </c>
      <c r="V24" s="70"/>
      <c r="W24" s="70"/>
    </row>
    <row r="25" spans="1:23" s="17" customFormat="1" ht="42.75" customHeight="1">
      <c r="A25" s="14"/>
      <c r="B25" s="15" t="s">
        <v>33</v>
      </c>
      <c r="C25" s="16">
        <f>'July 2022'!H25</f>
        <v>11027.552999999996</v>
      </c>
      <c r="D25" s="16">
        <f t="shared" ref="D25:U25" si="8">D24+D19+D15+D11</f>
        <v>5.01</v>
      </c>
      <c r="E25" s="16">
        <f>'July 2022'!E25+'aug 2022'!D25</f>
        <v>119.56</v>
      </c>
      <c r="F25" s="16">
        <f t="shared" si="8"/>
        <v>0</v>
      </c>
      <c r="G25" s="16">
        <f>'July 2022'!G25+'aug 2022'!F25</f>
        <v>413.49</v>
      </c>
      <c r="H25" s="58">
        <f t="shared" si="8"/>
        <v>11032.562999999996</v>
      </c>
      <c r="I25" s="16">
        <f>'July 2022'!N25</f>
        <v>1497.15</v>
      </c>
      <c r="J25" s="16">
        <f t="shared" si="8"/>
        <v>17.410999999999998</v>
      </c>
      <c r="K25" s="16">
        <f>'July 2022'!K25+'aug 2022'!J25</f>
        <v>79.483000000000004</v>
      </c>
      <c r="L25" s="16">
        <f t="shared" si="8"/>
        <v>0</v>
      </c>
      <c r="M25" s="16">
        <f>'July 2022'!M25+'aug 2022'!L25</f>
        <v>1.75</v>
      </c>
      <c r="N25" s="58">
        <f t="shared" si="8"/>
        <v>1514.5610000000001</v>
      </c>
      <c r="O25" s="47">
        <f>'July 2022'!T25</f>
        <v>4892.9439999999995</v>
      </c>
      <c r="P25" s="16">
        <f t="shared" si="8"/>
        <v>79.939999999999984</v>
      </c>
      <c r="Q25" s="16">
        <f>'July 2022'!Q25+'aug 2022'!P25</f>
        <v>1018.5200000000001</v>
      </c>
      <c r="R25" s="16">
        <f t="shared" si="8"/>
        <v>0</v>
      </c>
      <c r="S25" s="16">
        <f>'July 2022'!S25+'aug 2022'!R25</f>
        <v>70.959999999999994</v>
      </c>
      <c r="T25" s="58">
        <f t="shared" si="8"/>
        <v>4972.884</v>
      </c>
      <c r="U25" s="16">
        <f t="shared" si="8"/>
        <v>17520.007999999998</v>
      </c>
      <c r="V25" s="70"/>
      <c r="W25" s="70"/>
    </row>
    <row r="26" spans="1:23" ht="42.75" customHeight="1">
      <c r="A26" s="8">
        <v>15</v>
      </c>
      <c r="B26" s="9" t="s">
        <v>34</v>
      </c>
      <c r="C26" s="10">
        <f>'July 2022'!H26</f>
        <v>1194.9619999999993</v>
      </c>
      <c r="D26" s="10">
        <v>2.0299999999999998</v>
      </c>
      <c r="E26" s="10">
        <f>'July 2022'!E26+'aug 2022'!D26</f>
        <v>13.349999999999998</v>
      </c>
      <c r="F26" s="10">
        <v>0</v>
      </c>
      <c r="G26" s="10">
        <f>'July 2022'!G26+'aug 2022'!F26</f>
        <v>0</v>
      </c>
      <c r="H26" s="72">
        <f t="shared" si="0"/>
        <v>1196.9919999999993</v>
      </c>
      <c r="I26" s="10">
        <f>'July 2022'!N26</f>
        <v>0.04</v>
      </c>
      <c r="J26" s="10">
        <v>0</v>
      </c>
      <c r="K26" s="10">
        <f>'July 2022'!K26+'aug 2022'!J26</f>
        <v>0.04</v>
      </c>
      <c r="L26" s="10">
        <v>0</v>
      </c>
      <c r="M26" s="10">
        <f>'July 2022'!M26+'aug 2022'!L26</f>
        <v>0</v>
      </c>
      <c r="N26" s="72">
        <f t="shared" si="1"/>
        <v>0.04</v>
      </c>
      <c r="O26" s="11">
        <f>'July 2022'!T26</f>
        <v>165.81</v>
      </c>
      <c r="P26" s="10">
        <v>0.24</v>
      </c>
      <c r="Q26" s="10">
        <f>'July 2022'!Q26+'aug 2022'!P26</f>
        <v>36.67</v>
      </c>
      <c r="R26" s="10">
        <v>0</v>
      </c>
      <c r="S26" s="10">
        <f>'July 2022'!S26+'aug 2022'!R26</f>
        <v>0.18</v>
      </c>
      <c r="T26" s="82">
        <f t="shared" si="2"/>
        <v>166.05</v>
      </c>
      <c r="U26" s="11">
        <f t="shared" si="3"/>
        <v>1363.0819999999992</v>
      </c>
      <c r="V26" s="115"/>
      <c r="W26" s="12"/>
    </row>
    <row r="27" spans="1:23" ht="42.75" customHeight="1">
      <c r="A27" s="8">
        <v>16</v>
      </c>
      <c r="B27" s="9" t="s">
        <v>67</v>
      </c>
      <c r="C27" s="10">
        <f>'July 2022'!H27</f>
        <v>10342.566999999992</v>
      </c>
      <c r="D27" s="10">
        <v>12.44</v>
      </c>
      <c r="E27" s="10">
        <f>'July 2022'!E27+'aug 2022'!D27</f>
        <v>56.82</v>
      </c>
      <c r="F27" s="10">
        <v>0</v>
      </c>
      <c r="G27" s="10">
        <f>'July 2022'!G27+'aug 2022'!F27</f>
        <v>0</v>
      </c>
      <c r="H27" s="72">
        <f t="shared" si="0"/>
        <v>10355.006999999992</v>
      </c>
      <c r="I27" s="10">
        <f>'July 2022'!N27</f>
        <v>393.78499999999997</v>
      </c>
      <c r="J27" s="10">
        <v>0.74</v>
      </c>
      <c r="K27" s="10">
        <f>'July 2022'!K27+'aug 2022'!J27</f>
        <v>9.49</v>
      </c>
      <c r="L27" s="10">
        <v>0</v>
      </c>
      <c r="M27" s="10">
        <f>'July 2022'!M27+'aug 2022'!L27</f>
        <v>0</v>
      </c>
      <c r="N27" s="72">
        <f t="shared" si="1"/>
        <v>394.52499999999998</v>
      </c>
      <c r="O27" s="11">
        <f>'July 2022'!T27</f>
        <v>33.660000000000011</v>
      </c>
      <c r="P27" s="10">
        <v>1.59</v>
      </c>
      <c r="Q27" s="10">
        <f>'July 2022'!Q27+'aug 2022'!P27</f>
        <v>5.1100000000000003</v>
      </c>
      <c r="R27" s="10">
        <v>0</v>
      </c>
      <c r="S27" s="10">
        <f>'July 2022'!S27+'aug 2022'!R27</f>
        <v>45.21</v>
      </c>
      <c r="T27" s="82">
        <f t="shared" si="2"/>
        <v>35.250000000000014</v>
      </c>
      <c r="U27" s="11">
        <f t="shared" si="3"/>
        <v>10784.781999999992</v>
      </c>
      <c r="V27" s="115"/>
      <c r="W27" s="12"/>
    </row>
    <row r="28" spans="1:23" s="17" customFormat="1" ht="42.75" customHeight="1">
      <c r="A28" s="14"/>
      <c r="B28" s="15" t="s">
        <v>35</v>
      </c>
      <c r="C28" s="16">
        <f>'July 2022'!H28</f>
        <v>11537.528999999991</v>
      </c>
      <c r="D28" s="16">
        <f t="shared" ref="D28:U28" si="9">SUM(D26:D27)</f>
        <v>14.469999999999999</v>
      </c>
      <c r="E28" s="16">
        <f>'July 2022'!E28+'aug 2022'!D28</f>
        <v>70.17</v>
      </c>
      <c r="F28" s="16">
        <f t="shared" si="9"/>
        <v>0</v>
      </c>
      <c r="G28" s="16">
        <f>'July 2022'!G28+'aug 2022'!F28</f>
        <v>0</v>
      </c>
      <c r="H28" s="58">
        <f t="shared" si="9"/>
        <v>11551.998999999993</v>
      </c>
      <c r="I28" s="16">
        <f>'July 2022'!N28</f>
        <v>393.82499999999999</v>
      </c>
      <c r="J28" s="16">
        <f t="shared" si="9"/>
        <v>0.74</v>
      </c>
      <c r="K28" s="16">
        <f>'July 2022'!K28+'aug 2022'!J28</f>
        <v>9.5299999999999994</v>
      </c>
      <c r="L28" s="16">
        <f t="shared" si="9"/>
        <v>0</v>
      </c>
      <c r="M28" s="16">
        <f>'July 2022'!M28+'aug 2022'!L28</f>
        <v>0</v>
      </c>
      <c r="N28" s="58">
        <f t="shared" si="9"/>
        <v>394.565</v>
      </c>
      <c r="O28" s="47">
        <f>'July 2022'!T28</f>
        <v>199.47000000000003</v>
      </c>
      <c r="P28" s="16">
        <f t="shared" si="9"/>
        <v>1.83</v>
      </c>
      <c r="Q28" s="16">
        <f>'July 2022'!Q28+'aug 2022'!P28</f>
        <v>41.78</v>
      </c>
      <c r="R28" s="16">
        <f t="shared" si="9"/>
        <v>0</v>
      </c>
      <c r="S28" s="16">
        <f>'July 2022'!S28+'aug 2022'!R28</f>
        <v>45.39</v>
      </c>
      <c r="T28" s="58">
        <f t="shared" si="9"/>
        <v>201.3</v>
      </c>
      <c r="U28" s="16">
        <f t="shared" si="9"/>
        <v>12147.86399999999</v>
      </c>
      <c r="V28" s="70"/>
      <c r="W28" s="70"/>
    </row>
    <row r="29" spans="1:23" ht="42.75" customHeight="1">
      <c r="A29" s="8">
        <v>17</v>
      </c>
      <c r="B29" s="9" t="s">
        <v>36</v>
      </c>
      <c r="C29" s="10">
        <f>'July 2022'!H29</f>
        <v>4438.9530000000013</v>
      </c>
      <c r="D29" s="10">
        <v>6.55</v>
      </c>
      <c r="E29" s="10">
        <f>'July 2022'!E29+'aug 2022'!D29</f>
        <v>43.89</v>
      </c>
      <c r="F29" s="10">
        <v>0</v>
      </c>
      <c r="G29" s="10">
        <f>'July 2022'!G29+'aug 2022'!F29</f>
        <v>0</v>
      </c>
      <c r="H29" s="72">
        <f t="shared" si="0"/>
        <v>4445.5030000000015</v>
      </c>
      <c r="I29" s="10">
        <f>'July 2022'!N29</f>
        <v>127.72</v>
      </c>
      <c r="J29" s="10">
        <v>28.49</v>
      </c>
      <c r="K29" s="10">
        <f>'July 2022'!K29+'aug 2022'!J29</f>
        <v>84.52</v>
      </c>
      <c r="L29" s="10">
        <v>0</v>
      </c>
      <c r="M29" s="10">
        <f>'July 2022'!M29+'aug 2022'!L29</f>
        <v>0</v>
      </c>
      <c r="N29" s="72">
        <f t="shared" si="1"/>
        <v>156.21</v>
      </c>
      <c r="O29" s="11">
        <f>'July 2022'!T29</f>
        <v>138.08000000000001</v>
      </c>
      <c r="P29" s="10">
        <v>0</v>
      </c>
      <c r="Q29" s="10">
        <f>'July 2022'!Q29+'aug 2022'!P29</f>
        <v>0</v>
      </c>
      <c r="R29" s="10">
        <v>0</v>
      </c>
      <c r="S29" s="10">
        <f>'July 2022'!S29+'aug 2022'!R29</f>
        <v>0</v>
      </c>
      <c r="T29" s="82">
        <f t="shared" si="2"/>
        <v>138.08000000000001</v>
      </c>
      <c r="U29" s="11">
        <f t="shared" si="3"/>
        <v>4739.7930000000015</v>
      </c>
      <c r="V29" s="12"/>
      <c r="W29" s="12"/>
    </row>
    <row r="30" spans="1:23" ht="42.75" customHeight="1">
      <c r="A30" s="8">
        <v>18</v>
      </c>
      <c r="B30" s="9" t="s">
        <v>37</v>
      </c>
      <c r="C30" s="10">
        <f>'July 2022'!H30</f>
        <v>6209.8840000000018</v>
      </c>
      <c r="D30" s="10">
        <f>9.38+29.01</f>
        <v>38.39</v>
      </c>
      <c r="E30" s="10">
        <f>'July 2022'!E30+'aug 2022'!D30</f>
        <v>72.930000000000007</v>
      </c>
      <c r="F30" s="10">
        <v>0</v>
      </c>
      <c r="G30" s="10">
        <f>'July 2022'!G30+'aug 2022'!F30</f>
        <v>0</v>
      </c>
      <c r="H30" s="72">
        <f t="shared" si="0"/>
        <v>6248.2740000000022</v>
      </c>
      <c r="I30" s="10">
        <f>'July 2022'!N30</f>
        <v>37</v>
      </c>
      <c r="J30" s="10">
        <v>23.45</v>
      </c>
      <c r="K30" s="10">
        <f>'July 2022'!K30+'aug 2022'!J30</f>
        <v>60.45</v>
      </c>
      <c r="L30" s="10">
        <v>0</v>
      </c>
      <c r="M30" s="10">
        <f>'July 2022'!M30+'aug 2022'!L30</f>
        <v>0</v>
      </c>
      <c r="N30" s="72">
        <f t="shared" si="1"/>
        <v>60.45</v>
      </c>
      <c r="O30" s="11">
        <f>'July 2022'!T30</f>
        <v>0.22</v>
      </c>
      <c r="P30" s="10">
        <v>0</v>
      </c>
      <c r="Q30" s="10">
        <f>'July 2022'!Q30+'aug 2022'!P30</f>
        <v>0</v>
      </c>
      <c r="R30" s="10">
        <v>0</v>
      </c>
      <c r="S30" s="10">
        <f>'July 2022'!S30+'aug 2022'!R30</f>
        <v>0</v>
      </c>
      <c r="T30" s="82">
        <f t="shared" si="2"/>
        <v>0.22</v>
      </c>
      <c r="U30" s="11">
        <f t="shared" si="3"/>
        <v>6308.9440000000022</v>
      </c>
      <c r="V30" s="12"/>
      <c r="W30" s="12"/>
    </row>
    <row r="31" spans="1:23" ht="42.75" customHeight="1">
      <c r="A31" s="8">
        <v>19</v>
      </c>
      <c r="B31" s="9" t="s">
        <v>38</v>
      </c>
      <c r="C31" s="10">
        <f>'July 2022'!H31</f>
        <v>3090.117999999999</v>
      </c>
      <c r="D31" s="10">
        <v>1.98</v>
      </c>
      <c r="E31" s="10">
        <f>'July 2022'!E31+'aug 2022'!D31</f>
        <v>21.415000000000003</v>
      </c>
      <c r="F31" s="10">
        <v>0</v>
      </c>
      <c r="G31" s="10">
        <f>'July 2022'!G31+'aug 2022'!F31</f>
        <v>3.38</v>
      </c>
      <c r="H31" s="72">
        <f t="shared" si="0"/>
        <v>3092.097999999999</v>
      </c>
      <c r="I31" s="10">
        <f>'July 2022'!N31</f>
        <v>50.180000000000007</v>
      </c>
      <c r="J31" s="10">
        <v>0</v>
      </c>
      <c r="K31" s="10">
        <f>'July 2022'!K31+'aug 2022'!J31</f>
        <v>47.02</v>
      </c>
      <c r="L31" s="10">
        <v>0</v>
      </c>
      <c r="M31" s="10">
        <f>'July 2022'!M31+'aug 2022'!L31</f>
        <v>0</v>
      </c>
      <c r="N31" s="72">
        <f t="shared" si="1"/>
        <v>50.180000000000007</v>
      </c>
      <c r="O31" s="11">
        <f>'July 2022'!T31</f>
        <v>128.47999999999999</v>
      </c>
      <c r="P31" s="10">
        <v>0</v>
      </c>
      <c r="Q31" s="10">
        <f>'July 2022'!Q31+'aug 2022'!P31</f>
        <v>0</v>
      </c>
      <c r="R31" s="10">
        <v>0</v>
      </c>
      <c r="S31" s="10">
        <f>'July 2022'!S31+'aug 2022'!R31</f>
        <v>0</v>
      </c>
      <c r="T31" s="82">
        <f t="shared" si="2"/>
        <v>128.47999999999999</v>
      </c>
      <c r="U31" s="11">
        <f t="shared" si="3"/>
        <v>3270.7579999999989</v>
      </c>
      <c r="V31" s="12"/>
      <c r="W31" s="12"/>
    </row>
    <row r="32" spans="1:23" ht="42.75" customHeight="1">
      <c r="A32" s="8">
        <v>20</v>
      </c>
      <c r="B32" s="9" t="s">
        <v>39</v>
      </c>
      <c r="C32" s="10">
        <f>'July 2022'!H32</f>
        <v>4379.74</v>
      </c>
      <c r="D32" s="10">
        <v>2.2200000000000002</v>
      </c>
      <c r="E32" s="10">
        <f>'July 2022'!E32+'aug 2022'!D32</f>
        <v>13.28</v>
      </c>
      <c r="F32" s="10">
        <v>0</v>
      </c>
      <c r="G32" s="10">
        <f>'July 2022'!G32+'aug 2022'!F32</f>
        <v>0</v>
      </c>
      <c r="H32" s="72">
        <f t="shared" si="0"/>
        <v>4381.96</v>
      </c>
      <c r="I32" s="10">
        <f>'July 2022'!N32</f>
        <v>174.32</v>
      </c>
      <c r="J32" s="10">
        <f>0.5+22.86</f>
        <v>23.36</v>
      </c>
      <c r="K32" s="10">
        <f>'July 2022'!K32+'aug 2022'!J32</f>
        <v>63.84</v>
      </c>
      <c r="L32" s="10">
        <v>0</v>
      </c>
      <c r="M32" s="10">
        <f>'July 2022'!M32+'aug 2022'!L32</f>
        <v>0</v>
      </c>
      <c r="N32" s="72">
        <f t="shared" si="1"/>
        <v>197.68</v>
      </c>
      <c r="O32" s="11">
        <f>'July 2022'!T32</f>
        <v>243.64999999999995</v>
      </c>
      <c r="P32" s="10">
        <v>0</v>
      </c>
      <c r="Q32" s="10">
        <f>'July 2022'!Q32+'aug 2022'!P32</f>
        <v>0.01</v>
      </c>
      <c r="R32" s="10">
        <v>0</v>
      </c>
      <c r="S32" s="10">
        <f>'July 2022'!S32+'aug 2022'!R32</f>
        <v>27.41</v>
      </c>
      <c r="T32" s="82">
        <f t="shared" si="2"/>
        <v>243.64999999999995</v>
      </c>
      <c r="U32" s="11">
        <f t="shared" si="3"/>
        <v>4823.29</v>
      </c>
      <c r="V32" s="12"/>
      <c r="W32" s="12"/>
    </row>
    <row r="33" spans="1:23" s="17" customFormat="1" ht="42.75" customHeight="1">
      <c r="A33" s="14"/>
      <c r="B33" s="15" t="s">
        <v>68</v>
      </c>
      <c r="C33" s="16">
        <f>'July 2022'!H33</f>
        <v>18118.695</v>
      </c>
      <c r="D33" s="16">
        <f t="shared" ref="D33:U33" si="10">SUM(D29:D32)</f>
        <v>49.139999999999993</v>
      </c>
      <c r="E33" s="16">
        <f>'July 2022'!E33+'aug 2022'!D33</f>
        <v>151.51499999999999</v>
      </c>
      <c r="F33" s="16">
        <f t="shared" si="10"/>
        <v>0</v>
      </c>
      <c r="G33" s="16">
        <f>'July 2022'!G33+'aug 2022'!F33</f>
        <v>3.38</v>
      </c>
      <c r="H33" s="58">
        <f t="shared" si="10"/>
        <v>18167.835000000003</v>
      </c>
      <c r="I33" s="16">
        <f>'July 2022'!N33</f>
        <v>389.22</v>
      </c>
      <c r="J33" s="16">
        <f t="shared" si="10"/>
        <v>75.3</v>
      </c>
      <c r="K33" s="16">
        <f>'July 2022'!K33+'aug 2022'!J33</f>
        <v>255.83000000000004</v>
      </c>
      <c r="L33" s="16">
        <f t="shared" si="10"/>
        <v>0</v>
      </c>
      <c r="M33" s="16">
        <f>'July 2022'!M33+'aug 2022'!L33</f>
        <v>0</v>
      </c>
      <c r="N33" s="58">
        <f t="shared" si="10"/>
        <v>464.52000000000004</v>
      </c>
      <c r="O33" s="47">
        <f>'July 2022'!T33</f>
        <v>510.42999999999995</v>
      </c>
      <c r="P33" s="16">
        <f t="shared" si="10"/>
        <v>0</v>
      </c>
      <c r="Q33" s="16">
        <f>'July 2022'!Q33+'aug 2022'!P33</f>
        <v>0.01</v>
      </c>
      <c r="R33" s="16">
        <f t="shared" si="10"/>
        <v>0</v>
      </c>
      <c r="S33" s="16">
        <f>'July 2022'!S33+'aug 2022'!R33</f>
        <v>27.41</v>
      </c>
      <c r="T33" s="58">
        <f t="shared" si="10"/>
        <v>510.42999999999995</v>
      </c>
      <c r="U33" s="16">
        <f t="shared" si="10"/>
        <v>19142.785000000003</v>
      </c>
      <c r="V33" s="70"/>
      <c r="W33" s="70"/>
    </row>
    <row r="34" spans="1:23" ht="42.75" customHeight="1">
      <c r="A34" s="8">
        <v>21</v>
      </c>
      <c r="B34" s="9" t="s">
        <v>40</v>
      </c>
      <c r="C34" s="10">
        <f>'July 2022'!H34</f>
        <v>5904.7400000000016</v>
      </c>
      <c r="D34" s="10">
        <v>7.22</v>
      </c>
      <c r="E34" s="10">
        <f>'July 2022'!E34+'aug 2022'!D34</f>
        <v>45.849999999999994</v>
      </c>
      <c r="F34" s="10">
        <v>0</v>
      </c>
      <c r="G34" s="10">
        <f>'July 2022'!G34+'aug 2022'!F34</f>
        <v>0</v>
      </c>
      <c r="H34" s="72">
        <f t="shared" si="0"/>
        <v>5911.9600000000019</v>
      </c>
      <c r="I34" s="10">
        <f>'July 2022'!N34</f>
        <v>2</v>
      </c>
      <c r="J34" s="10">
        <v>0</v>
      </c>
      <c r="K34" s="10">
        <f>'July 2022'!K34+'aug 2022'!J34</f>
        <v>2</v>
      </c>
      <c r="L34" s="10">
        <v>0</v>
      </c>
      <c r="M34" s="10">
        <f>'July 2022'!M34+'aug 2022'!L34</f>
        <v>0</v>
      </c>
      <c r="N34" s="72">
        <f t="shared" si="1"/>
        <v>2</v>
      </c>
      <c r="O34" s="11">
        <f>'July 2022'!T34</f>
        <v>38.700000000000003</v>
      </c>
      <c r="P34" s="10">
        <v>0</v>
      </c>
      <c r="Q34" s="10">
        <f>'July 2022'!Q34+'aug 2022'!P34</f>
        <v>38.700000000000003</v>
      </c>
      <c r="R34" s="10">
        <v>0</v>
      </c>
      <c r="S34" s="10">
        <f>'July 2022'!S34+'aug 2022'!R34</f>
        <v>0</v>
      </c>
      <c r="T34" s="82">
        <f t="shared" si="2"/>
        <v>38.700000000000003</v>
      </c>
      <c r="U34" s="11">
        <f t="shared" si="3"/>
        <v>5952.6600000000017</v>
      </c>
      <c r="V34" s="18"/>
      <c r="W34" s="18"/>
    </row>
    <row r="35" spans="1:23" ht="42.75" customHeight="1">
      <c r="A35" s="8">
        <v>22</v>
      </c>
      <c r="B35" s="9" t="s">
        <v>41</v>
      </c>
      <c r="C35" s="10">
        <f>'July 2022'!H35</f>
        <v>4674.9550000000008</v>
      </c>
      <c r="D35" s="10">
        <v>12.93</v>
      </c>
      <c r="E35" s="10">
        <f>'July 2022'!E35+'aug 2022'!D35</f>
        <v>62.98</v>
      </c>
      <c r="F35" s="10">
        <v>0</v>
      </c>
      <c r="G35" s="10">
        <f>'July 2022'!G35+'aug 2022'!F35</f>
        <v>0</v>
      </c>
      <c r="H35" s="72">
        <f t="shared" si="0"/>
        <v>4687.8850000000011</v>
      </c>
      <c r="I35" s="10">
        <f>'July 2022'!N35</f>
        <v>0.1</v>
      </c>
      <c r="J35" s="10">
        <v>0</v>
      </c>
      <c r="K35" s="10">
        <f>'July 2022'!K35+'aug 2022'!J35</f>
        <v>0</v>
      </c>
      <c r="L35" s="10">
        <v>0</v>
      </c>
      <c r="M35" s="10">
        <f>'July 2022'!M35+'aug 2022'!L35</f>
        <v>0</v>
      </c>
      <c r="N35" s="72">
        <f t="shared" si="1"/>
        <v>0.1</v>
      </c>
      <c r="O35" s="11">
        <f>'July 2022'!T35</f>
        <v>16.43</v>
      </c>
      <c r="P35" s="10">
        <v>0</v>
      </c>
      <c r="Q35" s="10">
        <f>'July 2022'!Q35+'aug 2022'!P35</f>
        <v>0</v>
      </c>
      <c r="R35" s="10">
        <v>0</v>
      </c>
      <c r="S35" s="10">
        <f>'July 2022'!S35+'aug 2022'!R35</f>
        <v>0</v>
      </c>
      <c r="T35" s="82">
        <f t="shared" si="2"/>
        <v>16.43</v>
      </c>
      <c r="U35" s="11">
        <f t="shared" si="3"/>
        <v>4704.4150000000018</v>
      </c>
      <c r="V35" s="18"/>
      <c r="W35" s="18"/>
    </row>
    <row r="36" spans="1:23" ht="42.75" customHeight="1">
      <c r="A36" s="8">
        <v>23</v>
      </c>
      <c r="B36" s="9" t="s">
        <v>42</v>
      </c>
      <c r="C36" s="10">
        <f>'July 2022'!H36</f>
        <v>19368.120000000003</v>
      </c>
      <c r="D36" s="10">
        <v>0</v>
      </c>
      <c r="E36" s="10">
        <f>'July 2022'!E36+'aug 2022'!D36</f>
        <v>1.25</v>
      </c>
      <c r="F36" s="10">
        <v>0</v>
      </c>
      <c r="G36" s="10">
        <f>'July 2022'!G36+'aug 2022'!F36</f>
        <v>0</v>
      </c>
      <c r="H36" s="72">
        <f t="shared" si="0"/>
        <v>19368.120000000003</v>
      </c>
      <c r="I36" s="10">
        <f>'July 2022'!N36</f>
        <v>8.5</v>
      </c>
      <c r="J36" s="10">
        <v>0</v>
      </c>
      <c r="K36" s="10">
        <f>'July 2022'!K36+'aug 2022'!J36</f>
        <v>0</v>
      </c>
      <c r="L36" s="10">
        <v>0</v>
      </c>
      <c r="M36" s="10">
        <f>'July 2022'!M36+'aug 2022'!L36</f>
        <v>0</v>
      </c>
      <c r="N36" s="72">
        <f t="shared" si="1"/>
        <v>8.5</v>
      </c>
      <c r="O36" s="11">
        <f>'July 2022'!T36</f>
        <v>36.19</v>
      </c>
      <c r="P36" s="10">
        <v>36.200000000000003</v>
      </c>
      <c r="Q36" s="10">
        <f>'July 2022'!Q36+'aug 2022'!P36</f>
        <v>72.39</v>
      </c>
      <c r="R36" s="10">
        <v>0</v>
      </c>
      <c r="S36" s="10">
        <f>'July 2022'!S36+'aug 2022'!R36</f>
        <v>0</v>
      </c>
      <c r="T36" s="82">
        <f t="shared" si="2"/>
        <v>72.39</v>
      </c>
      <c r="U36" s="11">
        <f t="shared" si="3"/>
        <v>19449.010000000002</v>
      </c>
      <c r="V36" s="18"/>
      <c r="W36" s="18"/>
    </row>
    <row r="37" spans="1:23" ht="42.75" customHeight="1">
      <c r="A37" s="8">
        <v>24</v>
      </c>
      <c r="B37" s="9" t="s">
        <v>43</v>
      </c>
      <c r="C37" s="10">
        <f>'July 2022'!H37</f>
        <v>7012.0599999999986</v>
      </c>
      <c r="D37" s="10">
        <v>1.02</v>
      </c>
      <c r="E37" s="10">
        <f>'July 2022'!E37+'aug 2022'!D37</f>
        <v>5.48</v>
      </c>
      <c r="F37" s="10">
        <v>0</v>
      </c>
      <c r="G37" s="10">
        <f>'July 2022'!G37+'aug 2022'!F37</f>
        <v>0</v>
      </c>
      <c r="H37" s="72">
        <f t="shared" si="0"/>
        <v>7013.079999999999</v>
      </c>
      <c r="I37" s="10">
        <f>'July 2022'!N37</f>
        <v>0</v>
      </c>
      <c r="J37" s="10">
        <v>0</v>
      </c>
      <c r="K37" s="10">
        <f>'July 2022'!K37+'aug 2022'!J37</f>
        <v>0</v>
      </c>
      <c r="L37" s="10">
        <v>0</v>
      </c>
      <c r="M37" s="10">
        <f>'July 2022'!M37+'aug 2022'!L37</f>
        <v>0</v>
      </c>
      <c r="N37" s="72">
        <f t="shared" si="1"/>
        <v>0</v>
      </c>
      <c r="O37" s="11">
        <f>'July 2022'!T37</f>
        <v>3.1</v>
      </c>
      <c r="P37" s="10">
        <v>0</v>
      </c>
      <c r="Q37" s="10">
        <f>'July 2022'!Q37+'aug 2022'!P37</f>
        <v>0</v>
      </c>
      <c r="R37" s="10">
        <v>0</v>
      </c>
      <c r="S37" s="10">
        <f>'July 2022'!S37+'aug 2022'!R37</f>
        <v>0</v>
      </c>
      <c r="T37" s="82">
        <f t="shared" si="2"/>
        <v>3.1</v>
      </c>
      <c r="U37" s="11">
        <f t="shared" si="3"/>
        <v>7016.1799999999994</v>
      </c>
      <c r="V37" s="18"/>
      <c r="W37" s="18"/>
    </row>
    <row r="38" spans="1:23" s="17" customFormat="1" ht="42.75" customHeight="1">
      <c r="A38" s="14"/>
      <c r="B38" s="15" t="s">
        <v>44</v>
      </c>
      <c r="C38" s="16">
        <f>'July 2022'!H38</f>
        <v>36959.875000000007</v>
      </c>
      <c r="D38" s="16">
        <f t="shared" ref="D38:U38" si="11">SUM(D34:D37)</f>
        <v>21.169999999999998</v>
      </c>
      <c r="E38" s="16">
        <f>'July 2022'!E38+'aug 2022'!D38</f>
        <v>115.55999999999999</v>
      </c>
      <c r="F38" s="16">
        <f t="shared" si="11"/>
        <v>0</v>
      </c>
      <c r="G38" s="16">
        <f>'July 2022'!G38+'aug 2022'!F38</f>
        <v>0</v>
      </c>
      <c r="H38" s="58">
        <f t="shared" si="11"/>
        <v>36981.045000000006</v>
      </c>
      <c r="I38" s="16">
        <f>'July 2022'!N38</f>
        <v>10.6</v>
      </c>
      <c r="J38" s="16">
        <f t="shared" si="11"/>
        <v>0</v>
      </c>
      <c r="K38" s="16">
        <f>'July 2022'!K38+'aug 2022'!J38</f>
        <v>2</v>
      </c>
      <c r="L38" s="16">
        <f t="shared" si="11"/>
        <v>0</v>
      </c>
      <c r="M38" s="16">
        <f>'July 2022'!M38+'aug 2022'!L38</f>
        <v>0</v>
      </c>
      <c r="N38" s="58">
        <f t="shared" si="11"/>
        <v>10.6</v>
      </c>
      <c r="O38" s="47">
        <f>'July 2022'!T38</f>
        <v>94.419999999999987</v>
      </c>
      <c r="P38" s="16">
        <f t="shared" si="11"/>
        <v>36.200000000000003</v>
      </c>
      <c r="Q38" s="16">
        <f>'July 2022'!Q38+'aug 2022'!P38</f>
        <v>111.09</v>
      </c>
      <c r="R38" s="16">
        <f t="shared" si="11"/>
        <v>0</v>
      </c>
      <c r="S38" s="16">
        <f>'July 2022'!S38+'aug 2022'!R38</f>
        <v>0</v>
      </c>
      <c r="T38" s="58">
        <f t="shared" si="11"/>
        <v>130.62</v>
      </c>
      <c r="U38" s="16">
        <f t="shared" si="11"/>
        <v>37122.265000000007</v>
      </c>
      <c r="V38" s="70"/>
      <c r="W38" s="70"/>
    </row>
    <row r="39" spans="1:23" s="17" customFormat="1" ht="42.75" customHeight="1">
      <c r="A39" s="14"/>
      <c r="B39" s="15" t="s">
        <v>45</v>
      </c>
      <c r="C39" s="16">
        <f>'July 2022'!H39</f>
        <v>66616.099000000002</v>
      </c>
      <c r="D39" s="16">
        <f t="shared" ref="D39:U39" si="12">D38+D33+D28</f>
        <v>84.779999999999987</v>
      </c>
      <c r="E39" s="16">
        <f>'July 2022'!E39+'aug 2022'!D39</f>
        <v>337.24499999999995</v>
      </c>
      <c r="F39" s="16">
        <f t="shared" si="12"/>
        <v>0</v>
      </c>
      <c r="G39" s="16">
        <f>'July 2022'!G39+'aug 2022'!F39</f>
        <v>3.38</v>
      </c>
      <c r="H39" s="58">
        <f t="shared" si="12"/>
        <v>66700.879000000001</v>
      </c>
      <c r="I39" s="16">
        <f>'July 2022'!N39</f>
        <v>793.64499999999998</v>
      </c>
      <c r="J39" s="16">
        <f t="shared" si="12"/>
        <v>76.039999999999992</v>
      </c>
      <c r="K39" s="16">
        <f>'July 2022'!K39+'aug 2022'!J39</f>
        <v>267.36</v>
      </c>
      <c r="L39" s="16">
        <f t="shared" si="12"/>
        <v>0</v>
      </c>
      <c r="M39" s="16">
        <f>'July 2022'!M39+'aug 2022'!L39</f>
        <v>0</v>
      </c>
      <c r="N39" s="58">
        <f t="shared" si="12"/>
        <v>869.68500000000006</v>
      </c>
      <c r="O39" s="47">
        <f>'July 2022'!T39</f>
        <v>804.31999999999994</v>
      </c>
      <c r="P39" s="16">
        <f t="shared" si="12"/>
        <v>38.03</v>
      </c>
      <c r="Q39" s="16">
        <f>'July 2022'!Q39+'aug 2022'!P39</f>
        <v>152.88</v>
      </c>
      <c r="R39" s="16">
        <f t="shared" si="12"/>
        <v>0</v>
      </c>
      <c r="S39" s="16">
        <f>'July 2022'!S39+'aug 2022'!R39</f>
        <v>72.8</v>
      </c>
      <c r="T39" s="58">
        <f t="shared" si="12"/>
        <v>842.34999999999991</v>
      </c>
      <c r="U39" s="16">
        <f t="shared" si="12"/>
        <v>68412.914000000004</v>
      </c>
      <c r="V39" s="70"/>
      <c r="W39" s="70"/>
    </row>
    <row r="40" spans="1:23" ht="42.75" customHeight="1">
      <c r="A40" s="8">
        <v>25</v>
      </c>
      <c r="B40" s="9" t="s">
        <v>46</v>
      </c>
      <c r="C40" s="10">
        <f>'July 2022'!H40</f>
        <v>13854.138000000003</v>
      </c>
      <c r="D40" s="10">
        <v>8.18</v>
      </c>
      <c r="E40" s="10">
        <f>'July 2022'!E40+'aug 2022'!D40</f>
        <v>77.22999999999999</v>
      </c>
      <c r="F40" s="10">
        <v>0</v>
      </c>
      <c r="G40" s="10">
        <f>'July 2022'!G40+'aug 2022'!F40</f>
        <v>0</v>
      </c>
      <c r="H40" s="72">
        <f t="shared" si="0"/>
        <v>13862.318000000003</v>
      </c>
      <c r="I40" s="10">
        <f>'July 2022'!N40</f>
        <v>0</v>
      </c>
      <c r="J40" s="10">
        <v>37.799999999999997</v>
      </c>
      <c r="K40" s="10">
        <f>'July 2022'!K40+'aug 2022'!J40</f>
        <v>37.799999999999997</v>
      </c>
      <c r="L40" s="10">
        <v>0</v>
      </c>
      <c r="M40" s="10">
        <f>'July 2022'!M40+'aug 2022'!L40</f>
        <v>0</v>
      </c>
      <c r="N40" s="72">
        <f t="shared" si="1"/>
        <v>37.799999999999997</v>
      </c>
      <c r="O40" s="11">
        <f>'July 2022'!T40</f>
        <v>0</v>
      </c>
      <c r="P40" s="10">
        <v>0</v>
      </c>
      <c r="Q40" s="10">
        <f>'July 2022'!Q40+'aug 2022'!P40</f>
        <v>0</v>
      </c>
      <c r="R40" s="10">
        <v>0</v>
      </c>
      <c r="S40" s="10">
        <f>'July 2022'!S40+'aug 2022'!R40</f>
        <v>0</v>
      </c>
      <c r="T40" s="82">
        <f t="shared" si="2"/>
        <v>0</v>
      </c>
      <c r="U40" s="11">
        <f t="shared" si="3"/>
        <v>13900.118000000002</v>
      </c>
      <c r="V40" s="12"/>
      <c r="W40" s="12"/>
    </row>
    <row r="41" spans="1:23" ht="42.75" customHeight="1">
      <c r="A41" s="8">
        <v>26</v>
      </c>
      <c r="B41" s="9" t="s">
        <v>47</v>
      </c>
      <c r="C41" s="10">
        <f>'July 2022'!H41</f>
        <v>10401.025999999993</v>
      </c>
      <c r="D41" s="10">
        <f>55.82+28.97</f>
        <v>84.789999999999992</v>
      </c>
      <c r="E41" s="10">
        <f>'July 2022'!E41+'aug 2022'!D41</f>
        <v>376.1</v>
      </c>
      <c r="F41" s="10">
        <v>0</v>
      </c>
      <c r="G41" s="10">
        <f>'July 2022'!G41+'aug 2022'!F41</f>
        <v>0</v>
      </c>
      <c r="H41" s="72">
        <f t="shared" si="0"/>
        <v>10485.815999999993</v>
      </c>
      <c r="I41" s="10">
        <f>'July 2022'!N41</f>
        <v>0</v>
      </c>
      <c r="J41" s="10">
        <v>0</v>
      </c>
      <c r="K41" s="10">
        <f>'July 2022'!K41+'aug 2022'!J41</f>
        <v>0</v>
      </c>
      <c r="L41" s="10">
        <v>0</v>
      </c>
      <c r="M41" s="10">
        <f>'July 2022'!M41+'aug 2022'!L41</f>
        <v>0</v>
      </c>
      <c r="N41" s="72">
        <f t="shared" si="1"/>
        <v>0</v>
      </c>
      <c r="O41" s="11">
        <f>'July 2022'!T41</f>
        <v>0</v>
      </c>
      <c r="P41" s="10">
        <v>0</v>
      </c>
      <c r="Q41" s="10">
        <f>'July 2022'!Q41+'aug 2022'!P41</f>
        <v>0</v>
      </c>
      <c r="R41" s="10">
        <v>0</v>
      </c>
      <c r="S41" s="10">
        <f>'July 2022'!S41+'aug 2022'!R41</f>
        <v>0</v>
      </c>
      <c r="T41" s="82">
        <f t="shared" si="2"/>
        <v>0</v>
      </c>
      <c r="U41" s="11">
        <f t="shared" si="3"/>
        <v>10485.815999999993</v>
      </c>
      <c r="V41" s="12"/>
      <c r="W41" s="12"/>
    </row>
    <row r="42" spans="1:23" ht="42.75" customHeight="1">
      <c r="A42" s="8">
        <v>27</v>
      </c>
      <c r="B42" s="9" t="s">
        <v>48</v>
      </c>
      <c r="C42" s="10">
        <f>'July 2022'!H42</f>
        <v>23908.353999999999</v>
      </c>
      <c r="D42" s="10">
        <v>2.5750000000000002</v>
      </c>
      <c r="E42" s="10">
        <f>'July 2022'!E42+'aug 2022'!D42</f>
        <v>37.015000000000001</v>
      </c>
      <c r="F42" s="10">
        <v>0</v>
      </c>
      <c r="G42" s="10">
        <f>'July 2022'!G42+'aug 2022'!F42</f>
        <v>0</v>
      </c>
      <c r="H42" s="72">
        <f t="shared" si="0"/>
        <v>23910.929</v>
      </c>
      <c r="I42" s="10">
        <f>'July 2022'!N42</f>
        <v>0</v>
      </c>
      <c r="J42" s="10">
        <v>0</v>
      </c>
      <c r="K42" s="10">
        <f>'July 2022'!K42+'aug 2022'!J42</f>
        <v>0</v>
      </c>
      <c r="L42" s="10">
        <v>0</v>
      </c>
      <c r="M42" s="10">
        <f>'July 2022'!M42+'aug 2022'!L42</f>
        <v>0</v>
      </c>
      <c r="N42" s="72">
        <f t="shared" si="1"/>
        <v>0</v>
      </c>
      <c r="O42" s="11">
        <f>'July 2022'!T42</f>
        <v>0</v>
      </c>
      <c r="P42" s="10">
        <v>0</v>
      </c>
      <c r="Q42" s="10">
        <f>'July 2022'!Q42+'aug 2022'!P42</f>
        <v>0</v>
      </c>
      <c r="R42" s="10">
        <v>0</v>
      </c>
      <c r="S42" s="10">
        <f>'July 2022'!S42+'aug 2022'!R42</f>
        <v>0</v>
      </c>
      <c r="T42" s="82">
        <f t="shared" si="2"/>
        <v>0</v>
      </c>
      <c r="U42" s="11">
        <f t="shared" si="3"/>
        <v>23910.929</v>
      </c>
      <c r="V42" s="12"/>
      <c r="W42" s="12"/>
    </row>
    <row r="43" spans="1:23" ht="42.75" customHeight="1">
      <c r="A43" s="8">
        <v>28</v>
      </c>
      <c r="B43" s="9" t="s">
        <v>49</v>
      </c>
      <c r="C43" s="10">
        <f>'July 2022'!H43</f>
        <v>2320.4230000000002</v>
      </c>
      <c r="D43" s="10">
        <v>8.6</v>
      </c>
      <c r="E43" s="10">
        <f>'July 2022'!E43+'aug 2022'!D43</f>
        <v>42.56</v>
      </c>
      <c r="F43" s="10">
        <v>0</v>
      </c>
      <c r="G43" s="10">
        <f>'July 2022'!G43+'aug 2022'!F43</f>
        <v>0</v>
      </c>
      <c r="H43" s="72">
        <f t="shared" si="0"/>
        <v>2329.0230000000001</v>
      </c>
      <c r="I43" s="10">
        <f>'July 2022'!N43</f>
        <v>0</v>
      </c>
      <c r="J43" s="10">
        <v>0</v>
      </c>
      <c r="K43" s="10">
        <f>'July 2022'!K43+'aug 2022'!J43</f>
        <v>0</v>
      </c>
      <c r="L43" s="10">
        <v>0</v>
      </c>
      <c r="M43" s="10">
        <f>'July 2022'!M43+'aug 2022'!L43</f>
        <v>0</v>
      </c>
      <c r="N43" s="72">
        <f t="shared" si="1"/>
        <v>0</v>
      </c>
      <c r="O43" s="11">
        <f>'July 2022'!T43</f>
        <v>0</v>
      </c>
      <c r="P43" s="10">
        <v>0</v>
      </c>
      <c r="Q43" s="10">
        <f>'July 2022'!Q43+'aug 2022'!P43</f>
        <v>0</v>
      </c>
      <c r="R43" s="10">
        <v>0</v>
      </c>
      <c r="S43" s="10">
        <f>'July 2022'!S43+'aug 2022'!R43</f>
        <v>0</v>
      </c>
      <c r="T43" s="82">
        <f t="shared" si="2"/>
        <v>0</v>
      </c>
      <c r="U43" s="11">
        <f t="shared" si="3"/>
        <v>2329.0230000000001</v>
      </c>
      <c r="V43" s="12"/>
      <c r="W43" s="12"/>
    </row>
    <row r="44" spans="1:23" s="17" customFormat="1" ht="42.75" customHeight="1">
      <c r="A44" s="14"/>
      <c r="B44" s="15" t="s">
        <v>50</v>
      </c>
      <c r="C44" s="16">
        <f>'July 2022'!H44</f>
        <v>50483.940999999999</v>
      </c>
      <c r="D44" s="16">
        <f t="shared" ref="D44:U44" si="13">SUM(D40:D43)</f>
        <v>104.145</v>
      </c>
      <c r="E44" s="16">
        <f>'July 2022'!E44+'aug 2022'!D44</f>
        <v>532.90500000000009</v>
      </c>
      <c r="F44" s="16">
        <f t="shared" si="13"/>
        <v>0</v>
      </c>
      <c r="G44" s="16">
        <f>'July 2022'!G44+'aug 2022'!F44</f>
        <v>0</v>
      </c>
      <c r="H44" s="58">
        <f t="shared" si="13"/>
        <v>50588.085999999996</v>
      </c>
      <c r="I44" s="16">
        <f>'July 2022'!N44</f>
        <v>0</v>
      </c>
      <c r="J44" s="16">
        <f t="shared" si="13"/>
        <v>37.799999999999997</v>
      </c>
      <c r="K44" s="16">
        <f>'July 2022'!K44+'aug 2022'!J44</f>
        <v>37.799999999999997</v>
      </c>
      <c r="L44" s="16">
        <f t="shared" si="13"/>
        <v>0</v>
      </c>
      <c r="M44" s="16">
        <f>'July 2022'!M44+'aug 2022'!L44</f>
        <v>0</v>
      </c>
      <c r="N44" s="58">
        <f t="shared" si="13"/>
        <v>37.799999999999997</v>
      </c>
      <c r="O44" s="47">
        <f>'July 2022'!T44</f>
        <v>0</v>
      </c>
      <c r="P44" s="16">
        <f t="shared" si="13"/>
        <v>0</v>
      </c>
      <c r="Q44" s="16">
        <f>'July 2022'!Q44+'aug 2022'!P44</f>
        <v>0</v>
      </c>
      <c r="R44" s="16">
        <f t="shared" si="13"/>
        <v>0</v>
      </c>
      <c r="S44" s="16">
        <f>'July 2022'!S44+'aug 2022'!R44</f>
        <v>0</v>
      </c>
      <c r="T44" s="58">
        <f t="shared" si="13"/>
        <v>0</v>
      </c>
      <c r="U44" s="16">
        <f t="shared" si="13"/>
        <v>50625.885999999999</v>
      </c>
      <c r="V44" s="70"/>
      <c r="W44" s="70"/>
    </row>
    <row r="45" spans="1:23" ht="42.75" customHeight="1">
      <c r="A45" s="8">
        <v>29</v>
      </c>
      <c r="B45" s="9" t="s">
        <v>51</v>
      </c>
      <c r="C45" s="10">
        <f>'July 2022'!H45</f>
        <v>14079.979999999998</v>
      </c>
      <c r="D45" s="10">
        <v>0.64500000000000002</v>
      </c>
      <c r="E45" s="10">
        <f>'July 2022'!E45+'aug 2022'!D45</f>
        <v>126.57499999999999</v>
      </c>
      <c r="F45" s="10">
        <v>0</v>
      </c>
      <c r="G45" s="10">
        <f>'July 2022'!G45+'aug 2022'!F45</f>
        <v>0</v>
      </c>
      <c r="H45" s="72">
        <f t="shared" si="0"/>
        <v>14080.624999999998</v>
      </c>
      <c r="I45" s="10">
        <f>'July 2022'!N45</f>
        <v>6.6400000000000006</v>
      </c>
      <c r="J45" s="10">
        <v>0</v>
      </c>
      <c r="K45" s="10">
        <f>'July 2022'!K45+'aug 2022'!J45</f>
        <v>0.01</v>
      </c>
      <c r="L45" s="10">
        <v>0</v>
      </c>
      <c r="M45" s="10">
        <f>'July 2022'!M45+'aug 2022'!L45</f>
        <v>0</v>
      </c>
      <c r="N45" s="72">
        <f t="shared" si="1"/>
        <v>6.6400000000000006</v>
      </c>
      <c r="O45" s="11">
        <f>'July 2022'!T45</f>
        <v>94.390000000000015</v>
      </c>
      <c r="P45" s="10">
        <v>3.53</v>
      </c>
      <c r="Q45" s="10">
        <f>'July 2022'!Q45+'aug 2022'!P45</f>
        <v>67.75</v>
      </c>
      <c r="R45" s="10">
        <v>0</v>
      </c>
      <c r="S45" s="10">
        <f>'July 2022'!S45+'aug 2022'!R45</f>
        <v>0</v>
      </c>
      <c r="T45" s="82">
        <f t="shared" si="2"/>
        <v>97.920000000000016</v>
      </c>
      <c r="U45" s="11">
        <f t="shared" si="3"/>
        <v>14185.184999999998</v>
      </c>
      <c r="V45" s="115"/>
      <c r="W45" s="12"/>
    </row>
    <row r="46" spans="1:23" ht="42.75" customHeight="1">
      <c r="A46" s="8">
        <v>30</v>
      </c>
      <c r="B46" s="9" t="s">
        <v>52</v>
      </c>
      <c r="C46" s="10">
        <f>'July 2022'!H46</f>
        <v>7297.6299999999992</v>
      </c>
      <c r="D46" s="10">
        <v>3.915</v>
      </c>
      <c r="E46" s="10">
        <f>'July 2022'!E46+'aug 2022'!D46</f>
        <v>36.185000000000002</v>
      </c>
      <c r="F46" s="10">
        <v>0</v>
      </c>
      <c r="G46" s="10">
        <f>'July 2022'!G46+'aug 2022'!F46</f>
        <v>0</v>
      </c>
      <c r="H46" s="72">
        <f t="shared" si="0"/>
        <v>7301.5449999999992</v>
      </c>
      <c r="I46" s="10">
        <f>'July 2022'!N46</f>
        <v>0</v>
      </c>
      <c r="J46" s="10">
        <v>0</v>
      </c>
      <c r="K46" s="10">
        <f>'July 2022'!K46+'aug 2022'!J46</f>
        <v>0</v>
      </c>
      <c r="L46" s="10">
        <v>0</v>
      </c>
      <c r="M46" s="10">
        <f>'July 2022'!M46+'aug 2022'!L46</f>
        <v>0</v>
      </c>
      <c r="N46" s="72">
        <f t="shared" si="1"/>
        <v>0</v>
      </c>
      <c r="O46" s="11">
        <f>'July 2022'!T46</f>
        <v>7.5900000000000007</v>
      </c>
      <c r="P46" s="10">
        <v>0</v>
      </c>
      <c r="Q46" s="10">
        <f>'July 2022'!Q46+'aug 2022'!P46</f>
        <v>0</v>
      </c>
      <c r="R46" s="10">
        <v>0</v>
      </c>
      <c r="S46" s="10">
        <f>'July 2022'!S46+'aug 2022'!R46</f>
        <v>0.31</v>
      </c>
      <c r="T46" s="82">
        <f t="shared" si="2"/>
        <v>7.5900000000000007</v>
      </c>
      <c r="U46" s="11">
        <f t="shared" si="3"/>
        <v>7309.1349999999993</v>
      </c>
      <c r="V46" s="115"/>
      <c r="W46" s="12"/>
    </row>
    <row r="47" spans="1:23" ht="42.75" customHeight="1">
      <c r="A47" s="8">
        <v>31</v>
      </c>
      <c r="B47" s="9" t="s">
        <v>53</v>
      </c>
      <c r="C47" s="10">
        <f>'July 2022'!H47</f>
        <v>12303.320000000002</v>
      </c>
      <c r="D47" s="10">
        <v>0</v>
      </c>
      <c r="E47" s="10">
        <f>'July 2022'!E47+'aug 2022'!D47</f>
        <v>10.06</v>
      </c>
      <c r="F47" s="10">
        <v>0</v>
      </c>
      <c r="G47" s="10">
        <f>'July 2022'!G47+'aug 2022'!F47</f>
        <v>0</v>
      </c>
      <c r="H47" s="72">
        <f t="shared" si="0"/>
        <v>12303.320000000002</v>
      </c>
      <c r="I47" s="10">
        <f>'July 2022'!N47</f>
        <v>1.2999999999999998</v>
      </c>
      <c r="J47" s="10">
        <v>0</v>
      </c>
      <c r="K47" s="10">
        <f>'July 2022'!K47+'aug 2022'!J47</f>
        <v>0</v>
      </c>
      <c r="L47" s="10">
        <v>0</v>
      </c>
      <c r="M47" s="10">
        <f>'July 2022'!M47+'aug 2022'!L47</f>
        <v>0</v>
      </c>
      <c r="N47" s="72">
        <f t="shared" si="1"/>
        <v>1.2999999999999998</v>
      </c>
      <c r="O47" s="11">
        <f>'July 2022'!T47</f>
        <v>86.18</v>
      </c>
      <c r="P47" s="10">
        <v>0</v>
      </c>
      <c r="Q47" s="10">
        <f>'July 2022'!Q47+'aug 2022'!P47</f>
        <v>0</v>
      </c>
      <c r="R47" s="10">
        <v>0</v>
      </c>
      <c r="S47" s="10">
        <f>'July 2022'!S47+'aug 2022'!R47</f>
        <v>0.1</v>
      </c>
      <c r="T47" s="82">
        <f t="shared" si="2"/>
        <v>86.18</v>
      </c>
      <c r="U47" s="11">
        <f t="shared" si="3"/>
        <v>12390.800000000001</v>
      </c>
      <c r="V47" s="115"/>
      <c r="W47" s="12"/>
    </row>
    <row r="48" spans="1:23" ht="42.75" customHeight="1">
      <c r="A48" s="8">
        <v>32</v>
      </c>
      <c r="B48" s="9" t="s">
        <v>54</v>
      </c>
      <c r="C48" s="10">
        <f>'July 2022'!H48</f>
        <v>11099.832000000008</v>
      </c>
      <c r="D48" s="10">
        <v>0.1</v>
      </c>
      <c r="E48" s="10">
        <f>'July 2022'!E48+'aug 2022'!D48</f>
        <v>9.74</v>
      </c>
      <c r="F48" s="10">
        <v>0</v>
      </c>
      <c r="G48" s="10">
        <f>'July 2022'!G48+'aug 2022'!F48</f>
        <v>0</v>
      </c>
      <c r="H48" s="72">
        <f t="shared" si="0"/>
        <v>11099.932000000008</v>
      </c>
      <c r="I48" s="10">
        <f>'July 2022'!N48</f>
        <v>0</v>
      </c>
      <c r="J48" s="10">
        <v>0</v>
      </c>
      <c r="K48" s="10">
        <f>'July 2022'!K48+'aug 2022'!J48</f>
        <v>0</v>
      </c>
      <c r="L48" s="10">
        <v>0</v>
      </c>
      <c r="M48" s="10">
        <f>'July 2022'!M48+'aug 2022'!L48</f>
        <v>0</v>
      </c>
      <c r="N48" s="72">
        <f t="shared" si="1"/>
        <v>0</v>
      </c>
      <c r="O48" s="11">
        <f>'July 2022'!T48</f>
        <v>30.53</v>
      </c>
      <c r="P48" s="10">
        <v>0</v>
      </c>
      <c r="Q48" s="10">
        <f>'July 2022'!Q48+'aug 2022'!P48</f>
        <v>0.53</v>
      </c>
      <c r="R48" s="10">
        <v>0</v>
      </c>
      <c r="S48" s="10">
        <f>'July 2022'!S48+'aug 2022'!R48</f>
        <v>0</v>
      </c>
      <c r="T48" s="82">
        <f t="shared" si="2"/>
        <v>30.53</v>
      </c>
      <c r="U48" s="11">
        <f t="shared" si="3"/>
        <v>11130.462000000009</v>
      </c>
      <c r="V48" s="115"/>
      <c r="W48" s="12"/>
    </row>
    <row r="49" spans="1:23" s="17" customFormat="1" ht="42.75" customHeight="1">
      <c r="A49" s="14"/>
      <c r="B49" s="15" t="s">
        <v>55</v>
      </c>
      <c r="C49" s="16">
        <f>'July 2022'!H49</f>
        <v>44780.76200000001</v>
      </c>
      <c r="D49" s="16">
        <f t="shared" ref="D49:U49" si="14">SUM(D45:D48)</f>
        <v>4.66</v>
      </c>
      <c r="E49" s="16">
        <f>'July 2022'!E49+'aug 2022'!D49</f>
        <v>182.55999999999997</v>
      </c>
      <c r="F49" s="16">
        <f t="shared" si="14"/>
        <v>0</v>
      </c>
      <c r="G49" s="16">
        <f>'July 2022'!G49+'aug 2022'!F49</f>
        <v>0</v>
      </c>
      <c r="H49" s="58">
        <f t="shared" si="14"/>
        <v>44785.422000000006</v>
      </c>
      <c r="I49" s="16">
        <f>'July 2022'!N49</f>
        <v>7.94</v>
      </c>
      <c r="J49" s="16">
        <f t="shared" si="14"/>
        <v>0</v>
      </c>
      <c r="K49" s="16">
        <f>'July 2022'!K49+'aug 2022'!J49</f>
        <v>0.01</v>
      </c>
      <c r="L49" s="16">
        <f t="shared" si="14"/>
        <v>0</v>
      </c>
      <c r="M49" s="16">
        <f>'July 2022'!M49+'aug 2022'!L49</f>
        <v>0</v>
      </c>
      <c r="N49" s="58">
        <f t="shared" si="14"/>
        <v>7.94</v>
      </c>
      <c r="O49" s="47">
        <f>'July 2022'!T49</f>
        <v>218.69000000000003</v>
      </c>
      <c r="P49" s="16">
        <f t="shared" si="14"/>
        <v>3.53</v>
      </c>
      <c r="Q49" s="16">
        <f>'July 2022'!Q49+'aug 2022'!P49</f>
        <v>68.28</v>
      </c>
      <c r="R49" s="16">
        <f t="shared" si="14"/>
        <v>0</v>
      </c>
      <c r="S49" s="16">
        <f>'July 2022'!S49+'aug 2022'!R49</f>
        <v>0.41000000000000003</v>
      </c>
      <c r="T49" s="58">
        <f t="shared" si="14"/>
        <v>222.22000000000003</v>
      </c>
      <c r="U49" s="16">
        <f t="shared" si="14"/>
        <v>45015.582000000002</v>
      </c>
      <c r="V49" s="70"/>
      <c r="W49" s="70"/>
    </row>
    <row r="50" spans="1:23" s="17" customFormat="1" ht="42.75" customHeight="1">
      <c r="A50" s="14"/>
      <c r="B50" s="15" t="s">
        <v>56</v>
      </c>
      <c r="C50" s="16">
        <f>'July 2022'!H50</f>
        <v>95264.703000000009</v>
      </c>
      <c r="D50" s="16">
        <f t="shared" ref="D50:U50" si="15">D49+D44</f>
        <v>108.80499999999999</v>
      </c>
      <c r="E50" s="16">
        <f>'July 2022'!E50+'aug 2022'!D50</f>
        <v>715.46500000000003</v>
      </c>
      <c r="F50" s="16">
        <f t="shared" si="15"/>
        <v>0</v>
      </c>
      <c r="G50" s="16">
        <f>'July 2022'!G50+'aug 2022'!F50</f>
        <v>0</v>
      </c>
      <c r="H50" s="58">
        <f t="shared" si="15"/>
        <v>95373.508000000002</v>
      </c>
      <c r="I50" s="16">
        <f>'July 2022'!N50</f>
        <v>7.94</v>
      </c>
      <c r="J50" s="16">
        <f t="shared" si="15"/>
        <v>37.799999999999997</v>
      </c>
      <c r="K50" s="16">
        <f>'July 2022'!K50+'aug 2022'!J50</f>
        <v>37.809999999999995</v>
      </c>
      <c r="L50" s="16">
        <f t="shared" si="15"/>
        <v>0</v>
      </c>
      <c r="M50" s="16">
        <f>'July 2022'!M50+'aug 2022'!L50</f>
        <v>0</v>
      </c>
      <c r="N50" s="58">
        <f t="shared" si="15"/>
        <v>45.739999999999995</v>
      </c>
      <c r="O50" s="47">
        <f>'July 2022'!T50</f>
        <v>218.69000000000003</v>
      </c>
      <c r="P50" s="16">
        <f t="shared" si="15"/>
        <v>3.53</v>
      </c>
      <c r="Q50" s="16">
        <f>'July 2022'!Q50+'aug 2022'!P50</f>
        <v>68.28</v>
      </c>
      <c r="R50" s="16">
        <f t="shared" si="15"/>
        <v>0</v>
      </c>
      <c r="S50" s="16">
        <f>'July 2022'!S50+'aug 2022'!R50</f>
        <v>0.41000000000000003</v>
      </c>
      <c r="T50" s="58">
        <f t="shared" si="15"/>
        <v>222.22000000000003</v>
      </c>
      <c r="U50" s="16">
        <f t="shared" si="15"/>
        <v>95641.467999999993</v>
      </c>
      <c r="V50" s="70"/>
      <c r="W50" s="70"/>
    </row>
    <row r="51" spans="1:23" s="17" customFormat="1" ht="42.75" customHeight="1">
      <c r="A51" s="14"/>
      <c r="B51" s="15" t="s">
        <v>57</v>
      </c>
      <c r="C51" s="16">
        <f>'July 2022'!H51</f>
        <v>172908.35500000001</v>
      </c>
      <c r="D51" s="16">
        <f t="shared" ref="D51:U51" si="16">D50+D39+D25</f>
        <v>198.59499999999997</v>
      </c>
      <c r="E51" s="16">
        <f>'July 2022'!E51+'aug 2022'!D51</f>
        <v>1172.27</v>
      </c>
      <c r="F51" s="16">
        <f t="shared" si="16"/>
        <v>0</v>
      </c>
      <c r="G51" s="16">
        <f>'July 2022'!G51+'aug 2022'!F51</f>
        <v>416.87</v>
      </c>
      <c r="H51" s="58">
        <f t="shared" si="16"/>
        <v>173106.94999999998</v>
      </c>
      <c r="I51" s="16">
        <f>'July 2022'!N51</f>
        <v>2298.7350000000001</v>
      </c>
      <c r="J51" s="16">
        <f t="shared" si="16"/>
        <v>131.25099999999998</v>
      </c>
      <c r="K51" s="16">
        <f>'July 2022'!K51+'aug 2022'!J51</f>
        <v>384.65300000000002</v>
      </c>
      <c r="L51" s="16">
        <f t="shared" si="16"/>
        <v>0</v>
      </c>
      <c r="M51" s="16">
        <f>'July 2022'!M51+'aug 2022'!L51</f>
        <v>1.75</v>
      </c>
      <c r="N51" s="58">
        <f t="shared" si="16"/>
        <v>2429.9860000000003</v>
      </c>
      <c r="O51" s="47">
        <f>'July 2022'!T51</f>
        <v>5915.9539999999997</v>
      </c>
      <c r="P51" s="16">
        <f t="shared" si="16"/>
        <v>121.49999999999999</v>
      </c>
      <c r="Q51" s="16">
        <f>'July 2022'!Q51+'aug 2022'!P51</f>
        <v>1239.6800000000003</v>
      </c>
      <c r="R51" s="16">
        <f t="shared" si="16"/>
        <v>0</v>
      </c>
      <c r="S51" s="16">
        <f>'July 2022'!S51+'aug 2022'!R51</f>
        <v>144.16999999999999</v>
      </c>
      <c r="T51" s="58">
        <f t="shared" si="16"/>
        <v>6037.4539999999997</v>
      </c>
      <c r="U51" s="16">
        <f t="shared" si="16"/>
        <v>181574.38999999998</v>
      </c>
      <c r="V51" s="70"/>
      <c r="W51" s="70"/>
    </row>
    <row r="52" spans="1:23" s="23" customFormat="1" ht="42.75" hidden="1" customHeight="1">
      <c r="A52" s="19"/>
      <c r="B52" s="20"/>
      <c r="C52" s="10">
        <f>'July 2022'!H52</f>
        <v>0</v>
      </c>
      <c r="D52" s="21"/>
      <c r="E52" s="10">
        <f>'July 2022'!E52+'aug 2022'!D52</f>
        <v>0</v>
      </c>
      <c r="F52" s="21"/>
      <c r="G52" s="10">
        <f>'July 2022'!G52+'aug 2022'!F52</f>
        <v>0</v>
      </c>
      <c r="H52" s="72">
        <f t="shared" si="0"/>
        <v>0</v>
      </c>
      <c r="I52" s="10">
        <f>'July 2022'!N52</f>
        <v>0</v>
      </c>
      <c r="J52" s="21"/>
      <c r="K52" s="10">
        <f>'July 2022'!K52+'aug 2022'!J52</f>
        <v>0</v>
      </c>
      <c r="L52" s="21"/>
      <c r="M52" s="10">
        <f>'July 2022'!M52+'aug 2022'!L52</f>
        <v>0</v>
      </c>
      <c r="N52" s="73"/>
      <c r="O52" s="21"/>
      <c r="P52" s="21"/>
      <c r="Q52" s="10">
        <f>'July 2022'!Q52+'aug 2022'!P52</f>
        <v>0</v>
      </c>
      <c r="R52" s="21"/>
      <c r="S52" s="10">
        <f>'July 2022'!S52+'aug 2022'!R52</f>
        <v>0</v>
      </c>
      <c r="T52" s="73"/>
      <c r="U52" s="21"/>
      <c r="V52" s="21"/>
      <c r="W52" s="21"/>
    </row>
    <row r="53" spans="1:23" s="23" customFormat="1" hidden="1">
      <c r="A53" s="19"/>
      <c r="B53" s="20"/>
      <c r="C53" s="10">
        <f>'July 2022'!H53</f>
        <v>0</v>
      </c>
      <c r="D53" s="21"/>
      <c r="E53" s="10">
        <f>'July 2022'!E53+'aug 2022'!D53</f>
        <v>0</v>
      </c>
      <c r="F53" s="21"/>
      <c r="G53" s="10">
        <f>'July 2022'!G53+'aug 2022'!F53</f>
        <v>0</v>
      </c>
      <c r="H53" s="72">
        <f t="shared" si="0"/>
        <v>0</v>
      </c>
      <c r="I53" s="10">
        <f>'July 2022'!N53</f>
        <v>0</v>
      </c>
      <c r="J53" s="21"/>
      <c r="K53" s="10">
        <f>'July 2022'!K53+'aug 2022'!J53</f>
        <v>0</v>
      </c>
      <c r="L53" s="21"/>
      <c r="M53" s="10">
        <f>'July 2022'!M53+'aug 2022'!L53</f>
        <v>0</v>
      </c>
      <c r="N53" s="73"/>
      <c r="O53" s="21"/>
      <c r="P53" s="24"/>
      <c r="Q53" s="10">
        <f>'July 2022'!Q53+'aug 2022'!P53</f>
        <v>0</v>
      </c>
      <c r="R53" s="21"/>
      <c r="S53" s="10">
        <f>'July 2022'!S53+'aug 2022'!R53</f>
        <v>0</v>
      </c>
      <c r="T53" s="83"/>
      <c r="U53" s="21"/>
      <c r="V53" s="21"/>
      <c r="W53" s="21"/>
    </row>
    <row r="54" spans="1:23" s="23" customFormat="1">
      <c r="A54" s="19"/>
      <c r="B54" s="20"/>
      <c r="C54" s="21"/>
      <c r="D54" s="21"/>
      <c r="E54" s="22"/>
      <c r="F54" s="21"/>
      <c r="G54" s="21"/>
      <c r="H54" s="73"/>
      <c r="I54" s="24"/>
      <c r="J54" s="21"/>
      <c r="K54" s="22"/>
      <c r="L54" s="21"/>
      <c r="M54" s="24"/>
      <c r="N54" s="73" t="s">
        <v>66</v>
      </c>
      <c r="O54" s="21"/>
      <c r="P54" s="24"/>
      <c r="Q54" s="22"/>
      <c r="R54" s="21"/>
      <c r="S54" s="24"/>
      <c r="T54" s="83"/>
      <c r="U54" s="21"/>
      <c r="V54" s="21"/>
      <c r="W54" s="21"/>
    </row>
    <row r="55" spans="1:23" s="23" customFormat="1">
      <c r="A55" s="19"/>
      <c r="B55" s="20"/>
      <c r="C55" s="21"/>
      <c r="D55" s="21"/>
      <c r="E55" s="22"/>
      <c r="F55" s="21"/>
      <c r="G55" s="21"/>
      <c r="H55" s="73"/>
      <c r="I55" s="24"/>
      <c r="J55" s="21"/>
      <c r="K55" s="22"/>
      <c r="L55" s="21"/>
      <c r="M55" s="24"/>
      <c r="N55" s="73"/>
      <c r="O55" s="21"/>
      <c r="P55" s="24"/>
      <c r="Q55" s="22"/>
      <c r="R55" s="21"/>
      <c r="S55" s="24"/>
      <c r="T55" s="83"/>
      <c r="U55" s="21"/>
      <c r="V55" s="21"/>
      <c r="W55" s="21"/>
    </row>
    <row r="56" spans="1:23" s="17" customFormat="1" ht="57" customHeight="1">
      <c r="A56" s="26"/>
      <c r="B56" s="27"/>
      <c r="C56" s="28"/>
      <c r="D56" s="112" t="s">
        <v>58</v>
      </c>
      <c r="E56" s="112"/>
      <c r="F56" s="112"/>
      <c r="G56" s="112"/>
      <c r="H56" s="74">
        <f>D51+J51+P51-F51-L51-R51</f>
        <v>451.34599999999995</v>
      </c>
      <c r="I56" s="70"/>
      <c r="J56" s="70"/>
      <c r="K56" s="70"/>
      <c r="L56" s="70"/>
      <c r="M56" s="70"/>
      <c r="N56" s="74"/>
      <c r="O56" s="29"/>
      <c r="P56" s="70"/>
      <c r="Q56" s="70"/>
      <c r="R56" s="70"/>
      <c r="S56" s="70"/>
      <c r="T56" s="74"/>
      <c r="U56" s="71"/>
      <c r="V56" s="71"/>
      <c r="W56" s="71"/>
    </row>
    <row r="57" spans="1:23" s="17" customFormat="1" ht="66" customHeight="1">
      <c r="A57" s="26"/>
      <c r="B57" s="27"/>
      <c r="C57" s="70"/>
      <c r="D57" s="112" t="s">
        <v>59</v>
      </c>
      <c r="E57" s="112"/>
      <c r="F57" s="112"/>
      <c r="G57" s="112"/>
      <c r="H57" s="74">
        <f>E51+K51+Q51-G51-M51-S51</f>
        <v>2233.8130000000001</v>
      </c>
      <c r="I57" s="70"/>
      <c r="J57" s="70"/>
      <c r="K57" s="70"/>
      <c r="L57" s="70"/>
      <c r="M57" s="70"/>
      <c r="N57" s="74"/>
      <c r="O57" s="29"/>
      <c r="P57" s="70"/>
      <c r="Q57" s="70"/>
      <c r="R57" s="70"/>
      <c r="S57" s="70"/>
      <c r="T57" s="74"/>
      <c r="U57" s="71"/>
      <c r="V57" s="71"/>
      <c r="W57" s="71"/>
    </row>
    <row r="58" spans="1:23" ht="54" customHeight="1">
      <c r="C58" s="28"/>
      <c r="D58" s="112" t="s">
        <v>60</v>
      </c>
      <c r="E58" s="112"/>
      <c r="F58" s="112"/>
      <c r="G58" s="112"/>
      <c r="H58" s="74">
        <f>H51+N51+T51</f>
        <v>181574.38999999998</v>
      </c>
      <c r="I58" s="31"/>
      <c r="J58" s="31"/>
      <c r="K58" s="31"/>
      <c r="L58" s="32"/>
      <c r="M58" s="32"/>
      <c r="N58" s="81" t="e">
        <f>#REF!+'aug 2022'!H56</f>
        <v>#REF!</v>
      </c>
      <c r="O58" s="12"/>
      <c r="P58" s="31"/>
      <c r="Q58" s="31"/>
      <c r="T58" s="84"/>
      <c r="U58" s="12"/>
      <c r="V58" s="12"/>
      <c r="W58" s="12"/>
    </row>
    <row r="59" spans="1:23" ht="42.75" customHeight="1">
      <c r="C59" s="71"/>
      <c r="D59" s="71"/>
      <c r="E59" s="1"/>
      <c r="H59" s="75"/>
      <c r="J59" s="33" t="e">
        <f>#REF!+'aug 2022'!H56</f>
        <v>#REF!</v>
      </c>
      <c r="K59" s="31"/>
      <c r="L59" s="33" t="e">
        <f>#REF!+'aug 2022'!H56</f>
        <v>#REF!</v>
      </c>
      <c r="M59" s="31"/>
      <c r="O59" s="12"/>
    </row>
    <row r="60" spans="1:23" s="17" customFormat="1" ht="78.75" customHeight="1">
      <c r="B60" s="114" t="s">
        <v>61</v>
      </c>
      <c r="C60" s="114"/>
      <c r="D60" s="114"/>
      <c r="E60" s="114"/>
      <c r="F60" s="114"/>
      <c r="H60" s="76"/>
      <c r="I60" s="34" t="e">
        <f>#REF!+'aug 2022'!H56</f>
        <v>#REF!</v>
      </c>
      <c r="J60" s="1"/>
      <c r="K60" s="31"/>
      <c r="L60" s="31"/>
      <c r="M60" s="33">
        <f>'March 2022'!H58+'aug 2022'!H56</f>
        <v>179791.92299999995</v>
      </c>
      <c r="N60" s="78"/>
      <c r="Q60" s="114" t="s">
        <v>62</v>
      </c>
      <c r="R60" s="114"/>
      <c r="S60" s="114"/>
      <c r="T60" s="114"/>
      <c r="U60" s="114"/>
    </row>
    <row r="61" spans="1:23" s="17" customFormat="1" ht="45.75" customHeight="1">
      <c r="B61" s="114" t="s">
        <v>63</v>
      </c>
      <c r="C61" s="114"/>
      <c r="D61" s="114"/>
      <c r="E61" s="114"/>
      <c r="F61" s="114"/>
      <c r="G61" s="35"/>
      <c r="H61" s="77">
        <f>'[1]feb 2021'!H58+'aug 2022'!H56</f>
        <v>177288.989</v>
      </c>
      <c r="I61" s="35"/>
      <c r="J61" s="28"/>
      <c r="K61" s="31"/>
      <c r="L61" s="31"/>
      <c r="M61" s="31"/>
      <c r="N61" s="78"/>
      <c r="Q61" s="114" t="s">
        <v>63</v>
      </c>
      <c r="R61" s="114"/>
      <c r="S61" s="114"/>
      <c r="T61" s="114"/>
      <c r="U61" s="114"/>
    </row>
    <row r="62" spans="1:23" s="17" customFormat="1">
      <c r="B62" s="27"/>
      <c r="F62" s="37"/>
      <c r="H62" s="78"/>
      <c r="I62" s="35"/>
      <c r="J62" s="37"/>
      <c r="N62" s="78"/>
      <c r="Q62" s="71"/>
      <c r="R62" s="71"/>
      <c r="S62" s="2"/>
      <c r="T62" s="85"/>
      <c r="U62" s="71"/>
      <c r="V62" s="71"/>
      <c r="W62" s="71"/>
    </row>
    <row r="63" spans="1:23" s="17" customFormat="1" ht="61.5" customHeight="1">
      <c r="B63" s="27"/>
      <c r="G63" s="36">
        <f>'[1]May 2020'!H56+'aug 2022'!H56</f>
        <v>175182.307</v>
      </c>
      <c r="H63" s="78"/>
      <c r="J63" s="113" t="s">
        <v>64</v>
      </c>
      <c r="K63" s="113"/>
      <c r="L63" s="113"/>
      <c r="N63" s="78"/>
      <c r="O63" s="71"/>
      <c r="S63" s="37"/>
      <c r="T63" s="78"/>
      <c r="U63" s="71"/>
      <c r="V63" s="71"/>
      <c r="W63" s="71"/>
    </row>
    <row r="64" spans="1:23" s="17" customFormat="1" ht="58.5" customHeight="1">
      <c r="B64" s="27"/>
      <c r="H64" s="76"/>
      <c r="J64" s="113" t="s">
        <v>65</v>
      </c>
      <c r="K64" s="113"/>
      <c r="L64" s="113"/>
      <c r="N64" s="78"/>
      <c r="O64" s="71"/>
      <c r="S64" s="37"/>
      <c r="T64" s="78"/>
      <c r="U64" s="71"/>
      <c r="V64" s="71"/>
      <c r="W64" s="71"/>
    </row>
    <row r="66" spans="2:23">
      <c r="G66" s="31"/>
      <c r="H66" s="79" t="e">
        <f>#REF!+'aug 2022'!H56</f>
        <v>#REF!</v>
      </c>
    </row>
    <row r="67" spans="2:23">
      <c r="H67" s="75"/>
      <c r="J67" s="31"/>
    </row>
    <row r="69" spans="2:23">
      <c r="B69" s="3"/>
      <c r="G69" s="38"/>
      <c r="O69" s="3"/>
      <c r="U69" s="3"/>
      <c r="V69" s="3"/>
      <c r="W69" s="3"/>
    </row>
  </sheetData>
  <mergeCells count="31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V26:V27"/>
    <mergeCell ref="V45:V48"/>
    <mergeCell ref="H5:H6"/>
    <mergeCell ref="I5:I6"/>
    <mergeCell ref="J5:K5"/>
    <mergeCell ref="L5:M5"/>
    <mergeCell ref="N5:N6"/>
    <mergeCell ref="O5:O6"/>
    <mergeCell ref="Q60:U60"/>
    <mergeCell ref="B61:F61"/>
    <mergeCell ref="Q61:U61"/>
    <mergeCell ref="P5:Q5"/>
    <mergeCell ref="R5:S5"/>
    <mergeCell ref="T5:T6"/>
    <mergeCell ref="U5:U6"/>
    <mergeCell ref="J63:L63"/>
    <mergeCell ref="J64:L64"/>
    <mergeCell ref="D56:G56"/>
    <mergeCell ref="D57:G57"/>
    <mergeCell ref="D58:G58"/>
    <mergeCell ref="B60:F60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9"/>
  <sheetViews>
    <sheetView topLeftCell="A34" zoomScale="29" zoomScaleNormal="29" zoomScaleSheetLayoutView="25" workbookViewId="0">
      <selection activeCell="S44" sqref="S44"/>
    </sheetView>
  </sheetViews>
  <sheetFormatPr defaultRowHeight="33"/>
  <cols>
    <col min="1" max="1" width="16.7109375" style="3" customWidth="1"/>
    <col min="2" max="2" width="45.5703125" style="30" customWidth="1"/>
    <col min="3" max="3" width="36.5703125" style="3" customWidth="1"/>
    <col min="4" max="4" width="28.140625" style="3" customWidth="1"/>
    <col min="5" max="5" width="40.28515625" style="3" customWidth="1"/>
    <col min="6" max="6" width="32.42578125" style="3" customWidth="1"/>
    <col min="7" max="7" width="28.140625" style="3" customWidth="1"/>
    <col min="8" max="8" width="41.85546875" style="3" customWidth="1"/>
    <col min="9" max="9" width="29.5703125" style="3" customWidth="1"/>
    <col min="10" max="10" width="39.42578125" style="3" customWidth="1"/>
    <col min="11" max="11" width="28.140625" style="3" customWidth="1"/>
    <col min="12" max="12" width="36.7109375" style="3" customWidth="1"/>
    <col min="13" max="13" width="30.140625" style="3" customWidth="1"/>
    <col min="14" max="14" width="28.140625" style="3" customWidth="1"/>
    <col min="15" max="15" width="47.28515625" style="5" customWidth="1"/>
    <col min="16" max="16" width="32.7109375" style="3" customWidth="1"/>
    <col min="17" max="17" width="34.5703125" style="3" customWidth="1"/>
    <col min="18" max="18" width="36" style="3" customWidth="1"/>
    <col min="19" max="19" width="28.140625" style="6" customWidth="1"/>
    <col min="20" max="20" width="28.140625" style="3" customWidth="1"/>
    <col min="21" max="21" width="36.7109375" style="5" customWidth="1"/>
    <col min="22" max="22" width="41.42578125" style="5" customWidth="1"/>
    <col min="23" max="23" width="26" style="5" customWidth="1"/>
    <col min="24" max="16384" width="9.140625" style="3"/>
  </cols>
  <sheetData>
    <row r="1" spans="1:183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2"/>
      <c r="W1" s="2"/>
    </row>
    <row r="2" spans="1:183" ht="7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2"/>
      <c r="W2" s="2"/>
    </row>
    <row r="3" spans="1:183" ht="35.25" customHeight="1">
      <c r="A3" s="110" t="s">
        <v>80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2"/>
      <c r="W3" s="2"/>
    </row>
    <row r="4" spans="1:183" s="6" customFormat="1" ht="32.25" customHeight="1">
      <c r="A4" s="110" t="s">
        <v>1</v>
      </c>
      <c r="B4" s="110" t="s">
        <v>2</v>
      </c>
      <c r="C4" s="110" t="s">
        <v>3</v>
      </c>
      <c r="D4" s="110"/>
      <c r="E4" s="110"/>
      <c r="F4" s="110"/>
      <c r="G4" s="110"/>
      <c r="H4" s="110"/>
      <c r="I4" s="110" t="s">
        <v>4</v>
      </c>
      <c r="J4" s="111"/>
      <c r="K4" s="111"/>
      <c r="L4" s="111"/>
      <c r="M4" s="111"/>
      <c r="N4" s="111"/>
      <c r="O4" s="110" t="s">
        <v>5</v>
      </c>
      <c r="P4" s="111"/>
      <c r="Q4" s="111"/>
      <c r="R4" s="111"/>
      <c r="S4" s="111"/>
      <c r="T4" s="111"/>
      <c r="U4" s="4"/>
      <c r="V4" s="5"/>
      <c r="W4" s="5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</row>
    <row r="5" spans="1:183" s="6" customFormat="1" ht="41.25" customHeight="1">
      <c r="A5" s="110"/>
      <c r="B5" s="110"/>
      <c r="C5" s="110" t="s">
        <v>6</v>
      </c>
      <c r="D5" s="110" t="s">
        <v>7</v>
      </c>
      <c r="E5" s="110"/>
      <c r="F5" s="110" t="s">
        <v>8</v>
      </c>
      <c r="G5" s="110"/>
      <c r="H5" s="110" t="s">
        <v>9</v>
      </c>
      <c r="I5" s="110" t="s">
        <v>6</v>
      </c>
      <c r="J5" s="110" t="s">
        <v>7</v>
      </c>
      <c r="K5" s="110"/>
      <c r="L5" s="110" t="s">
        <v>8</v>
      </c>
      <c r="M5" s="110"/>
      <c r="N5" s="110" t="s">
        <v>9</v>
      </c>
      <c r="O5" s="110" t="s">
        <v>10</v>
      </c>
      <c r="P5" s="110" t="s">
        <v>7</v>
      </c>
      <c r="Q5" s="110"/>
      <c r="R5" s="110" t="s">
        <v>8</v>
      </c>
      <c r="S5" s="110"/>
      <c r="T5" s="110" t="s">
        <v>9</v>
      </c>
      <c r="U5" s="110" t="s">
        <v>11</v>
      </c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s="6" customFormat="1" ht="60" customHeight="1">
      <c r="A6" s="110"/>
      <c r="B6" s="110"/>
      <c r="C6" s="110"/>
      <c r="D6" s="89" t="s">
        <v>12</v>
      </c>
      <c r="E6" s="89" t="s">
        <v>13</v>
      </c>
      <c r="F6" s="89" t="s">
        <v>12</v>
      </c>
      <c r="G6" s="89" t="s">
        <v>13</v>
      </c>
      <c r="H6" s="110"/>
      <c r="I6" s="110"/>
      <c r="J6" s="7" t="s">
        <v>12</v>
      </c>
      <c r="K6" s="89" t="s">
        <v>13</v>
      </c>
      <c r="L6" s="89" t="s">
        <v>12</v>
      </c>
      <c r="M6" s="89" t="s">
        <v>13</v>
      </c>
      <c r="N6" s="110"/>
      <c r="O6" s="110"/>
      <c r="P6" s="89" t="s">
        <v>12</v>
      </c>
      <c r="Q6" s="89" t="s">
        <v>13</v>
      </c>
      <c r="R6" s="89" t="s">
        <v>12</v>
      </c>
      <c r="S6" s="89" t="s">
        <v>13</v>
      </c>
      <c r="T6" s="110"/>
      <c r="U6" s="110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</row>
    <row r="7" spans="1:183" ht="42.75" customHeight="1">
      <c r="A7" s="8">
        <v>1</v>
      </c>
      <c r="B7" s="9" t="s">
        <v>14</v>
      </c>
      <c r="C7" s="10">
        <f>'aug 2022'!H7</f>
        <v>141.97000000000065</v>
      </c>
      <c r="D7" s="10">
        <v>0</v>
      </c>
      <c r="E7" s="10">
        <f>'aug 2022'!E7+'sep 2022'!D7</f>
        <v>47.73</v>
      </c>
      <c r="F7" s="10">
        <v>39.5</v>
      </c>
      <c r="G7" s="10">
        <f>'aug 2022'!G7+'aug 2022'!F7</f>
        <v>66.8</v>
      </c>
      <c r="H7" s="67">
        <f>C7+D7-F7</f>
        <v>102.47000000000065</v>
      </c>
      <c r="I7" s="10">
        <f>'aug 2022'!N7</f>
        <v>158.84499999999994</v>
      </c>
      <c r="J7" s="10">
        <v>9.83</v>
      </c>
      <c r="K7" s="10">
        <f>'aug 2022'!K7+'sep 2022'!J7</f>
        <v>37.910000000000004</v>
      </c>
      <c r="L7" s="10">
        <v>0</v>
      </c>
      <c r="M7" s="10">
        <f>'aug 2022'!M7+'sep 2022'!L7</f>
        <v>0.04</v>
      </c>
      <c r="N7" s="67">
        <f>I7+J7-L7</f>
        <v>168.67499999999995</v>
      </c>
      <c r="O7" s="11">
        <f>'aug 2022'!T7</f>
        <v>284.1400000000001</v>
      </c>
      <c r="P7" s="10">
        <v>0</v>
      </c>
      <c r="Q7" s="10">
        <f>'aug 2022'!Q7+'sep 2022'!P7</f>
        <v>0.46</v>
      </c>
      <c r="R7" s="10">
        <v>0</v>
      </c>
      <c r="S7" s="10">
        <f>'aug 2022'!S7+'sep 2022'!R7</f>
        <v>0</v>
      </c>
      <c r="T7" s="68">
        <f>O7+P7-R7</f>
        <v>284.1400000000001</v>
      </c>
      <c r="U7" s="11">
        <f>H7+N7+T7</f>
        <v>555.28500000000076</v>
      </c>
      <c r="V7" s="12"/>
      <c r="W7" s="12"/>
    </row>
    <row r="8" spans="1:183" ht="42.75" customHeight="1">
      <c r="A8" s="8">
        <v>2</v>
      </c>
      <c r="B8" s="9" t="s">
        <v>15</v>
      </c>
      <c r="C8" s="10">
        <f>'aug 2022'!H8</f>
        <v>497.64499999999992</v>
      </c>
      <c r="D8" s="10">
        <v>0.03</v>
      </c>
      <c r="E8" s="10">
        <f>'aug 2022'!E8+'sep 2022'!D8</f>
        <v>0.39</v>
      </c>
      <c r="F8" s="10">
        <v>0</v>
      </c>
      <c r="G8" s="10">
        <f>'aug 2022'!G8+'aug 2022'!F8</f>
        <v>0.19</v>
      </c>
      <c r="H8" s="67">
        <f t="shared" ref="H8:H53" si="0">C8+D8-F8</f>
        <v>497.6749999999999</v>
      </c>
      <c r="I8" s="10">
        <f>'aug 2022'!N8</f>
        <v>125.982</v>
      </c>
      <c r="J8" s="10">
        <v>2.2400000000000002</v>
      </c>
      <c r="K8" s="10">
        <f>'aug 2022'!K8+'sep 2022'!J8</f>
        <v>8.1920000000000002</v>
      </c>
      <c r="L8" s="10">
        <v>0</v>
      </c>
      <c r="M8" s="10">
        <f>'aug 2022'!M8+'sep 2022'!L8</f>
        <v>0</v>
      </c>
      <c r="N8" s="67">
        <f t="shared" ref="N8:N48" si="1">I8+J8-L8</f>
        <v>128.22200000000001</v>
      </c>
      <c r="O8" s="11">
        <f>'aug 2022'!T8</f>
        <v>222.27000000000004</v>
      </c>
      <c r="P8" s="10">
        <v>0</v>
      </c>
      <c r="Q8" s="10">
        <f>'aug 2022'!Q8+'sep 2022'!P8</f>
        <v>34.629999999999995</v>
      </c>
      <c r="R8" s="10">
        <v>0</v>
      </c>
      <c r="S8" s="10">
        <f>'aug 2022'!S8+'sep 2022'!R8</f>
        <v>0</v>
      </c>
      <c r="T8" s="68">
        <f t="shared" ref="T8:T48" si="2">O8+P8-R8</f>
        <v>222.27000000000004</v>
      </c>
      <c r="U8" s="11">
        <f t="shared" ref="U8:U51" si="3">H8+N8+T8</f>
        <v>848.16699999999992</v>
      </c>
      <c r="V8" s="12"/>
      <c r="W8" s="12"/>
    </row>
    <row r="9" spans="1:183" ht="42.75" customHeight="1">
      <c r="A9" s="8">
        <v>3</v>
      </c>
      <c r="B9" s="9" t="s">
        <v>16</v>
      </c>
      <c r="C9" s="10">
        <f>'aug 2022'!H9</f>
        <v>653.9599999999997</v>
      </c>
      <c r="D9" s="10">
        <v>0</v>
      </c>
      <c r="E9" s="10">
        <f>'aug 2022'!E9+'sep 2022'!D9</f>
        <v>0</v>
      </c>
      <c r="F9" s="10">
        <v>0</v>
      </c>
      <c r="G9" s="10">
        <f>'aug 2022'!G9+'aug 2022'!F9</f>
        <v>90</v>
      </c>
      <c r="H9" s="67">
        <f t="shared" si="0"/>
        <v>653.9599999999997</v>
      </c>
      <c r="I9" s="10">
        <f>'aug 2022'!N9</f>
        <v>202.75400000000005</v>
      </c>
      <c r="J9" s="10">
        <v>1.0349999999999999</v>
      </c>
      <c r="K9" s="10">
        <f>'aug 2022'!K9+'sep 2022'!J9</f>
        <v>6.4559999999999995</v>
      </c>
      <c r="L9" s="10">
        <v>0</v>
      </c>
      <c r="M9" s="10">
        <f>'aug 2022'!M9+'sep 2022'!L9</f>
        <v>0</v>
      </c>
      <c r="N9" s="67">
        <f t="shared" si="1"/>
        <v>203.78900000000004</v>
      </c>
      <c r="O9" s="11">
        <f>'aug 2022'!T9</f>
        <v>157.63999999999999</v>
      </c>
      <c r="P9" s="10">
        <v>0</v>
      </c>
      <c r="Q9" s="10">
        <f>'aug 2022'!Q9+'sep 2022'!P9</f>
        <v>16.2</v>
      </c>
      <c r="R9" s="10">
        <v>0</v>
      </c>
      <c r="S9" s="10">
        <f>'aug 2022'!S9+'sep 2022'!R9</f>
        <v>0</v>
      </c>
      <c r="T9" s="11">
        <f t="shared" si="2"/>
        <v>157.63999999999999</v>
      </c>
      <c r="U9" s="11">
        <f t="shared" si="3"/>
        <v>1015.3889999999998</v>
      </c>
      <c r="V9" s="12"/>
      <c r="W9" s="12"/>
    </row>
    <row r="10" spans="1:183" ht="42.75" customHeight="1">
      <c r="A10" s="8">
        <v>4</v>
      </c>
      <c r="B10" s="13" t="s">
        <v>17</v>
      </c>
      <c r="C10" s="10">
        <f>'aug 2022'!H10</f>
        <v>0</v>
      </c>
      <c r="D10" s="10">
        <v>0</v>
      </c>
      <c r="E10" s="10">
        <f>'aug 2022'!E10+'sep 2022'!D10</f>
        <v>0</v>
      </c>
      <c r="F10" s="10">
        <v>0</v>
      </c>
      <c r="G10" s="10">
        <f>'aug 2022'!G10+'aug 2022'!F10</f>
        <v>0</v>
      </c>
      <c r="H10" s="67">
        <f t="shared" si="0"/>
        <v>0</v>
      </c>
      <c r="I10" s="10">
        <f>'aug 2022'!N10</f>
        <v>143.34400000000008</v>
      </c>
      <c r="J10" s="10">
        <v>0.111</v>
      </c>
      <c r="K10" s="10">
        <f>'aug 2022'!K10+'sep 2022'!J10</f>
        <v>1.421</v>
      </c>
      <c r="L10" s="10">
        <v>0</v>
      </c>
      <c r="M10" s="10">
        <f>'aug 2022'!M10+'sep 2022'!L10</f>
        <v>0</v>
      </c>
      <c r="N10" s="67">
        <f t="shared" si="1"/>
        <v>143.45500000000007</v>
      </c>
      <c r="O10" s="11">
        <f>'aug 2022'!T10</f>
        <v>234.24999999999997</v>
      </c>
      <c r="P10" s="10">
        <v>0</v>
      </c>
      <c r="Q10" s="10">
        <f>'aug 2022'!Q10+'sep 2022'!P10</f>
        <v>1.08</v>
      </c>
      <c r="R10" s="10">
        <v>0</v>
      </c>
      <c r="S10" s="10">
        <f>'aug 2022'!S10+'sep 2022'!R10</f>
        <v>0</v>
      </c>
      <c r="T10" s="68">
        <f t="shared" si="2"/>
        <v>234.24999999999997</v>
      </c>
      <c r="U10" s="11">
        <f t="shared" si="3"/>
        <v>377.70500000000004</v>
      </c>
      <c r="V10" s="12"/>
      <c r="W10" s="12"/>
    </row>
    <row r="11" spans="1:183" s="17" customFormat="1" ht="42.75" customHeight="1">
      <c r="A11" s="14"/>
      <c r="B11" s="15" t="s">
        <v>18</v>
      </c>
      <c r="C11" s="16">
        <f>SUM(C7:C10)</f>
        <v>1293.5750000000003</v>
      </c>
      <c r="D11" s="16">
        <f t="shared" ref="D11:T11" si="4">SUM(D7:D10)</f>
        <v>0.03</v>
      </c>
      <c r="E11" s="16">
        <f t="shared" si="4"/>
        <v>48.12</v>
      </c>
      <c r="F11" s="16">
        <f t="shared" si="4"/>
        <v>39.5</v>
      </c>
      <c r="G11" s="16">
        <f t="shared" si="4"/>
        <v>156.99</v>
      </c>
      <c r="H11" s="16">
        <f t="shared" si="4"/>
        <v>1254.1050000000002</v>
      </c>
      <c r="I11" s="16">
        <f t="shared" si="4"/>
        <v>630.92500000000007</v>
      </c>
      <c r="J11" s="16">
        <f t="shared" si="4"/>
        <v>13.216000000000001</v>
      </c>
      <c r="K11" s="16">
        <f t="shared" si="4"/>
        <v>53.979000000000006</v>
      </c>
      <c r="L11" s="16">
        <f t="shared" si="4"/>
        <v>0</v>
      </c>
      <c r="M11" s="16">
        <f t="shared" si="4"/>
        <v>0.04</v>
      </c>
      <c r="N11" s="16">
        <f t="shared" si="4"/>
        <v>644.14100000000008</v>
      </c>
      <c r="O11" s="16">
        <f t="shared" si="4"/>
        <v>898.30000000000018</v>
      </c>
      <c r="P11" s="16">
        <f t="shared" si="4"/>
        <v>0</v>
      </c>
      <c r="Q11" s="16">
        <f t="shared" si="4"/>
        <v>52.36999999999999</v>
      </c>
      <c r="R11" s="16">
        <f t="shared" si="4"/>
        <v>0</v>
      </c>
      <c r="S11" s="16">
        <f t="shared" si="4"/>
        <v>0</v>
      </c>
      <c r="T11" s="16">
        <f t="shared" si="4"/>
        <v>898.30000000000018</v>
      </c>
      <c r="U11" s="47">
        <f t="shared" si="3"/>
        <v>2796.5460000000003</v>
      </c>
      <c r="V11" s="90"/>
      <c r="W11" s="90"/>
    </row>
    <row r="12" spans="1:183" ht="42.75" customHeight="1">
      <c r="A12" s="8">
        <v>5</v>
      </c>
      <c r="B12" s="9" t="s">
        <v>19</v>
      </c>
      <c r="C12" s="10">
        <f>'aug 2022'!H12</f>
        <v>1653.4899999999991</v>
      </c>
      <c r="D12" s="10">
        <v>0</v>
      </c>
      <c r="E12" s="10">
        <f>'aug 2022'!E12+'sep 2022'!D12</f>
        <v>0</v>
      </c>
      <c r="F12" s="10">
        <v>0</v>
      </c>
      <c r="G12" s="10">
        <f>'aug 2022'!G12+'aug 2022'!F12</f>
        <v>0</v>
      </c>
      <c r="H12" s="67">
        <f t="shared" si="0"/>
        <v>1653.4899999999991</v>
      </c>
      <c r="I12" s="10">
        <f>'aug 2022'!N12</f>
        <v>122.84300000000002</v>
      </c>
      <c r="J12" s="10">
        <v>0.24</v>
      </c>
      <c r="K12" s="10">
        <f>'aug 2022'!K12+'sep 2022'!J12</f>
        <v>1.45</v>
      </c>
      <c r="L12" s="10">
        <v>0.4</v>
      </c>
      <c r="M12" s="10">
        <f>'aug 2022'!M12+'sep 2022'!L12</f>
        <v>0.4</v>
      </c>
      <c r="N12" s="67">
        <f t="shared" si="1"/>
        <v>122.68300000000001</v>
      </c>
      <c r="O12" s="11">
        <f>'aug 2022'!T12</f>
        <v>641.9</v>
      </c>
      <c r="P12" s="10">
        <v>0</v>
      </c>
      <c r="Q12" s="10">
        <f>'aug 2022'!Q12+'sep 2022'!P12</f>
        <v>62.989999999999995</v>
      </c>
      <c r="R12" s="10">
        <v>0</v>
      </c>
      <c r="S12" s="10">
        <f>'aug 2022'!S12+'sep 2022'!R12</f>
        <v>0</v>
      </c>
      <c r="T12" s="68">
        <f t="shared" si="2"/>
        <v>641.9</v>
      </c>
      <c r="U12" s="11">
        <f t="shared" si="3"/>
        <v>2418.072999999999</v>
      </c>
      <c r="V12" s="12"/>
      <c r="W12" s="12"/>
    </row>
    <row r="13" spans="1:183" ht="42.75" customHeight="1">
      <c r="A13" s="8">
        <v>6</v>
      </c>
      <c r="B13" s="9" t="s">
        <v>20</v>
      </c>
      <c r="C13" s="10">
        <f>'aug 2022'!H13</f>
        <v>1023.7699999999998</v>
      </c>
      <c r="D13" s="10">
        <v>0</v>
      </c>
      <c r="E13" s="10">
        <f>'aug 2022'!E13+'sep 2022'!D13</f>
        <v>0</v>
      </c>
      <c r="F13" s="10">
        <v>0</v>
      </c>
      <c r="G13" s="10">
        <f>'aug 2022'!G13+'aug 2022'!F13</f>
        <v>0</v>
      </c>
      <c r="H13" s="67">
        <f t="shared" si="0"/>
        <v>1023.7699999999998</v>
      </c>
      <c r="I13" s="10">
        <f>'aug 2022'!N13</f>
        <v>150.7940000000001</v>
      </c>
      <c r="J13" s="10">
        <v>0.71</v>
      </c>
      <c r="K13" s="10">
        <f>'aug 2022'!K13+'sep 2022'!J13</f>
        <v>3.91</v>
      </c>
      <c r="L13" s="10">
        <v>0</v>
      </c>
      <c r="M13" s="10">
        <f>'aug 2022'!M13+'sep 2022'!L13</f>
        <v>0.72</v>
      </c>
      <c r="N13" s="67">
        <f t="shared" si="1"/>
        <v>151.5040000000001</v>
      </c>
      <c r="O13" s="11">
        <f>'aug 2022'!T13</f>
        <v>87.2</v>
      </c>
      <c r="P13" s="10">
        <v>0</v>
      </c>
      <c r="Q13" s="10">
        <f>'aug 2022'!Q13+'sep 2022'!P13</f>
        <v>0.67</v>
      </c>
      <c r="R13" s="10">
        <v>0</v>
      </c>
      <c r="S13" s="10">
        <f>'aug 2022'!S13+'sep 2022'!R13</f>
        <v>0</v>
      </c>
      <c r="T13" s="68">
        <f t="shared" si="2"/>
        <v>87.2</v>
      </c>
      <c r="U13" s="11">
        <f t="shared" si="3"/>
        <v>1262.4739999999999</v>
      </c>
      <c r="V13" s="12"/>
      <c r="W13" s="12"/>
    </row>
    <row r="14" spans="1:183" ht="42.75" customHeight="1">
      <c r="A14" s="8">
        <v>7</v>
      </c>
      <c r="B14" s="9" t="s">
        <v>21</v>
      </c>
      <c r="C14" s="10">
        <f>'aug 2022'!H14</f>
        <v>2084.5799999999995</v>
      </c>
      <c r="D14" s="10">
        <v>0</v>
      </c>
      <c r="E14" s="10">
        <f>'aug 2022'!E14+'sep 2022'!D14</f>
        <v>0</v>
      </c>
      <c r="F14" s="10">
        <v>0</v>
      </c>
      <c r="G14" s="10">
        <f>'aug 2022'!G14+'aug 2022'!F14</f>
        <v>0</v>
      </c>
      <c r="H14" s="67">
        <f t="shared" si="0"/>
        <v>2084.5799999999995</v>
      </c>
      <c r="I14" s="10">
        <f>'aug 2022'!N14</f>
        <v>198.41399999999996</v>
      </c>
      <c r="J14" s="10">
        <v>1.27</v>
      </c>
      <c r="K14" s="10">
        <f>'aug 2022'!K14+'sep 2022'!J14</f>
        <v>5.83</v>
      </c>
      <c r="L14" s="10">
        <v>0</v>
      </c>
      <c r="M14" s="10">
        <f>'aug 2022'!M14+'sep 2022'!L14</f>
        <v>0</v>
      </c>
      <c r="N14" s="67">
        <f t="shared" si="1"/>
        <v>199.68399999999997</v>
      </c>
      <c r="O14" s="11">
        <f>'aug 2022'!T14</f>
        <v>403.09999999999991</v>
      </c>
      <c r="P14" s="10">
        <v>0.1</v>
      </c>
      <c r="Q14" s="10">
        <f>'aug 2022'!Q14+'sep 2022'!P14</f>
        <v>51.04</v>
      </c>
      <c r="R14" s="10">
        <v>0</v>
      </c>
      <c r="S14" s="10">
        <f>'aug 2022'!S14+'sep 2022'!R14</f>
        <v>0</v>
      </c>
      <c r="T14" s="68">
        <f t="shared" si="2"/>
        <v>403.19999999999993</v>
      </c>
      <c r="U14" s="11">
        <f t="shared" si="3"/>
        <v>2687.463999999999</v>
      </c>
      <c r="V14" s="12"/>
      <c r="W14" s="12"/>
    </row>
    <row r="15" spans="1:183" s="17" customFormat="1" ht="42.75" customHeight="1">
      <c r="A15" s="14" t="s">
        <v>22</v>
      </c>
      <c r="B15" s="15" t="s">
        <v>23</v>
      </c>
      <c r="C15" s="16">
        <f>SUM(C12:C14)</f>
        <v>4761.8399999999983</v>
      </c>
      <c r="D15" s="16">
        <f t="shared" ref="D15:T15" si="5">SUM(D12:D14)</f>
        <v>0</v>
      </c>
      <c r="E15" s="16">
        <f t="shared" si="5"/>
        <v>0</v>
      </c>
      <c r="F15" s="16">
        <f t="shared" si="5"/>
        <v>0</v>
      </c>
      <c r="G15" s="16">
        <f t="shared" si="5"/>
        <v>0</v>
      </c>
      <c r="H15" s="16">
        <f t="shared" si="5"/>
        <v>4761.8399999999983</v>
      </c>
      <c r="I15" s="16">
        <f t="shared" si="5"/>
        <v>472.05100000000004</v>
      </c>
      <c r="J15" s="16">
        <f t="shared" si="5"/>
        <v>2.2199999999999998</v>
      </c>
      <c r="K15" s="16">
        <f t="shared" si="5"/>
        <v>11.190000000000001</v>
      </c>
      <c r="L15" s="16">
        <f t="shared" si="5"/>
        <v>0.4</v>
      </c>
      <c r="M15" s="16">
        <f t="shared" si="5"/>
        <v>1.1200000000000001</v>
      </c>
      <c r="N15" s="16">
        <f t="shared" si="5"/>
        <v>473.87100000000009</v>
      </c>
      <c r="O15" s="16">
        <f t="shared" si="5"/>
        <v>1132.1999999999998</v>
      </c>
      <c r="P15" s="16">
        <f t="shared" si="5"/>
        <v>0.1</v>
      </c>
      <c r="Q15" s="16">
        <f t="shared" si="5"/>
        <v>114.69999999999999</v>
      </c>
      <c r="R15" s="16">
        <f t="shared" si="5"/>
        <v>0</v>
      </c>
      <c r="S15" s="16">
        <f t="shared" si="5"/>
        <v>0</v>
      </c>
      <c r="T15" s="16">
        <f t="shared" si="5"/>
        <v>1132.3</v>
      </c>
      <c r="U15" s="47">
        <f t="shared" si="3"/>
        <v>6368.0109999999986</v>
      </c>
      <c r="V15" s="90"/>
      <c r="W15" s="90"/>
    </row>
    <row r="16" spans="1:183" ht="42.75" customHeight="1">
      <c r="A16" s="8">
        <v>8</v>
      </c>
      <c r="B16" s="9" t="s">
        <v>24</v>
      </c>
      <c r="C16" s="10">
        <f>'aug 2022'!H16</f>
        <v>1758.5719999999992</v>
      </c>
      <c r="D16" s="10">
        <v>1.8</v>
      </c>
      <c r="E16" s="10">
        <f>'aug 2022'!E16+'sep 2022'!D16</f>
        <v>15.26</v>
      </c>
      <c r="F16" s="10">
        <v>441.44</v>
      </c>
      <c r="G16" s="10">
        <f>'aug 2022'!G16+'aug 2022'!F16</f>
        <v>1.5</v>
      </c>
      <c r="H16" s="67">
        <f t="shared" si="0"/>
        <v>1318.9319999999991</v>
      </c>
      <c r="I16" s="10">
        <f>'aug 2022'!N16</f>
        <v>112.06000000000002</v>
      </c>
      <c r="J16" s="10">
        <v>0.12</v>
      </c>
      <c r="K16" s="10">
        <f>'aug 2022'!K16+'sep 2022'!J16</f>
        <v>1.1600000000000001</v>
      </c>
      <c r="L16" s="10">
        <v>0</v>
      </c>
      <c r="M16" s="10">
        <f>'aug 2022'!M16+'sep 2022'!L16</f>
        <v>0</v>
      </c>
      <c r="N16" s="67">
        <f t="shared" si="1"/>
        <v>112.18000000000002</v>
      </c>
      <c r="O16" s="11">
        <f>'aug 2022'!T16</f>
        <v>135.69900000000001</v>
      </c>
      <c r="P16" s="10">
        <v>287.17</v>
      </c>
      <c r="Q16" s="10">
        <f>'aug 2022'!Q16+'sep 2022'!P16</f>
        <v>311.47000000000003</v>
      </c>
      <c r="R16" s="10">
        <v>0</v>
      </c>
      <c r="S16" s="10">
        <f>'aug 2022'!S16+'sep 2022'!R16</f>
        <v>0</v>
      </c>
      <c r="T16" s="11">
        <f t="shared" si="2"/>
        <v>422.86900000000003</v>
      </c>
      <c r="U16" s="11">
        <f t="shared" si="3"/>
        <v>1853.9809999999993</v>
      </c>
      <c r="V16" s="12"/>
      <c r="W16" s="12"/>
    </row>
    <row r="17" spans="1:23" ht="57.75" customHeight="1">
      <c r="A17" s="8">
        <v>9</v>
      </c>
      <c r="B17" s="9" t="s">
        <v>25</v>
      </c>
      <c r="C17" s="10">
        <f>'aug 2022'!H17</f>
        <v>239.35399999999987</v>
      </c>
      <c r="D17" s="10">
        <v>0</v>
      </c>
      <c r="E17" s="10">
        <f>'aug 2022'!E17+'sep 2022'!D17</f>
        <v>39.92</v>
      </c>
      <c r="F17" s="10">
        <v>0</v>
      </c>
      <c r="G17" s="10">
        <f>'aug 2022'!G17+'aug 2022'!F17</f>
        <v>0</v>
      </c>
      <c r="H17" s="67">
        <f t="shared" si="0"/>
        <v>239.35399999999987</v>
      </c>
      <c r="I17" s="10">
        <f>'aug 2022'!N17</f>
        <v>25.556999999999995</v>
      </c>
      <c r="J17" s="10">
        <v>2.65</v>
      </c>
      <c r="K17" s="10">
        <f>'aug 2022'!K17+'sep 2022'!J17</f>
        <v>7.1199999999999992</v>
      </c>
      <c r="L17" s="10">
        <v>0</v>
      </c>
      <c r="M17" s="10">
        <f>'aug 2022'!M17+'sep 2022'!L17</f>
        <v>0.99</v>
      </c>
      <c r="N17" s="67">
        <f t="shared" si="1"/>
        <v>28.206999999999994</v>
      </c>
      <c r="O17" s="11">
        <f>'aug 2022'!T17+83.4</f>
        <v>491.52100000000007</v>
      </c>
      <c r="P17" s="10">
        <v>0</v>
      </c>
      <c r="Q17" s="10">
        <f>'aug 2022'!Q17+'sep 2022'!P17</f>
        <v>70.81</v>
      </c>
      <c r="R17" s="10">
        <v>0</v>
      </c>
      <c r="S17" s="10">
        <f>'aug 2022'!S17+'sep 2022'!R17</f>
        <v>70.959999999999994</v>
      </c>
      <c r="T17" s="68">
        <f t="shared" si="2"/>
        <v>491.52100000000007</v>
      </c>
      <c r="U17" s="11">
        <f t="shared" si="3"/>
        <v>759.08199999999988</v>
      </c>
      <c r="V17" s="12"/>
      <c r="W17" s="12"/>
    </row>
    <row r="18" spans="1:23" ht="42.75" customHeight="1">
      <c r="A18" s="8">
        <v>10</v>
      </c>
      <c r="B18" s="9" t="s">
        <v>26</v>
      </c>
      <c r="C18" s="10">
        <f>'aug 2022'!H18</f>
        <v>669.86499999999933</v>
      </c>
      <c r="D18" s="10">
        <v>0</v>
      </c>
      <c r="E18" s="10">
        <f>'aug 2022'!E18+'sep 2022'!D18</f>
        <v>0</v>
      </c>
      <c r="F18" s="10">
        <v>0</v>
      </c>
      <c r="G18" s="10">
        <f>'aug 2022'!G18+'aug 2022'!F18</f>
        <v>0</v>
      </c>
      <c r="H18" s="67">
        <f t="shared" si="0"/>
        <v>669.86499999999933</v>
      </c>
      <c r="I18" s="10">
        <f>'aug 2022'!N18</f>
        <v>17.199999999999989</v>
      </c>
      <c r="J18" s="10">
        <v>0</v>
      </c>
      <c r="K18" s="10">
        <f>'aug 2022'!K18+'sep 2022'!J18</f>
        <v>0.83</v>
      </c>
      <c r="L18" s="10">
        <v>0.3</v>
      </c>
      <c r="M18" s="10">
        <f>'aug 2022'!M18+'sep 2022'!L18</f>
        <v>0.3</v>
      </c>
      <c r="N18" s="67">
        <f>I18+J18-L18</f>
        <v>16.899999999999988</v>
      </c>
      <c r="O18" s="11">
        <f>'aug 2022'!T18</f>
        <v>239.708</v>
      </c>
      <c r="P18" s="10">
        <v>0</v>
      </c>
      <c r="Q18" s="10">
        <f>'aug 2022'!Q18+'sep 2022'!P18</f>
        <v>44.81</v>
      </c>
      <c r="R18" s="10">
        <v>0</v>
      </c>
      <c r="S18" s="10">
        <f>'aug 2022'!S18+'sep 2022'!R18</f>
        <v>0</v>
      </c>
      <c r="T18" s="68">
        <f t="shared" si="2"/>
        <v>239.708</v>
      </c>
      <c r="U18" s="11">
        <f t="shared" si="3"/>
        <v>926.47299999999927</v>
      </c>
      <c r="V18" s="12"/>
      <c r="W18" s="12"/>
    </row>
    <row r="19" spans="1:23" s="17" customFormat="1" ht="42.75" customHeight="1">
      <c r="A19" s="14"/>
      <c r="B19" s="15" t="s">
        <v>27</v>
      </c>
      <c r="C19" s="16">
        <f>SUM(C16:C18)</f>
        <v>2667.7909999999983</v>
      </c>
      <c r="D19" s="16">
        <f t="shared" ref="D19:T19" si="6">SUM(D16:D18)</f>
        <v>1.8</v>
      </c>
      <c r="E19" s="16">
        <f t="shared" si="6"/>
        <v>55.18</v>
      </c>
      <c r="F19" s="16">
        <f t="shared" si="6"/>
        <v>441.44</v>
      </c>
      <c r="G19" s="16">
        <f t="shared" si="6"/>
        <v>1.5</v>
      </c>
      <c r="H19" s="16">
        <f t="shared" si="6"/>
        <v>2228.150999999998</v>
      </c>
      <c r="I19" s="16">
        <f t="shared" si="6"/>
        <v>154.81700000000001</v>
      </c>
      <c r="J19" s="16">
        <f t="shared" si="6"/>
        <v>2.77</v>
      </c>
      <c r="K19" s="16">
        <f t="shared" si="6"/>
        <v>9.11</v>
      </c>
      <c r="L19" s="16">
        <f t="shared" si="6"/>
        <v>0.3</v>
      </c>
      <c r="M19" s="16">
        <f t="shared" si="6"/>
        <v>1.29</v>
      </c>
      <c r="N19" s="16">
        <f t="shared" si="6"/>
        <v>157.28699999999998</v>
      </c>
      <c r="O19" s="16">
        <f t="shared" si="6"/>
        <v>866.928</v>
      </c>
      <c r="P19" s="16">
        <f t="shared" si="6"/>
        <v>287.17</v>
      </c>
      <c r="Q19" s="16">
        <f t="shared" si="6"/>
        <v>427.09000000000003</v>
      </c>
      <c r="R19" s="16">
        <f t="shared" si="6"/>
        <v>0</v>
      </c>
      <c r="S19" s="16">
        <f t="shared" si="6"/>
        <v>70.959999999999994</v>
      </c>
      <c r="T19" s="16">
        <f t="shared" si="6"/>
        <v>1154.0980000000002</v>
      </c>
      <c r="U19" s="47">
        <f t="shared" si="3"/>
        <v>3539.5359999999982</v>
      </c>
      <c r="V19" s="90"/>
      <c r="W19" s="90"/>
    </row>
    <row r="20" spans="1:23" ht="42.75" customHeight="1">
      <c r="A20" s="8">
        <v>11</v>
      </c>
      <c r="B20" s="9" t="s">
        <v>28</v>
      </c>
      <c r="C20" s="10">
        <f>'aug 2022'!H20</f>
        <v>1024.4249999999993</v>
      </c>
      <c r="D20" s="10">
        <v>0</v>
      </c>
      <c r="E20" s="10">
        <f>'aug 2022'!E20+'sep 2022'!D20</f>
        <v>0.88</v>
      </c>
      <c r="F20" s="10">
        <v>0</v>
      </c>
      <c r="G20" s="10">
        <f>'aug 2022'!G20+'aug 2022'!F20</f>
        <v>180</v>
      </c>
      <c r="H20" s="67">
        <f t="shared" si="0"/>
        <v>1024.4249999999993</v>
      </c>
      <c r="I20" s="10">
        <f>'aug 2022'!N20</f>
        <v>153.60100000000006</v>
      </c>
      <c r="J20" s="10">
        <v>0.77</v>
      </c>
      <c r="K20" s="10">
        <f>'aug 2022'!K20+'sep 2022'!J20</f>
        <v>2.0700000000000003</v>
      </c>
      <c r="L20" s="10">
        <v>0</v>
      </c>
      <c r="M20" s="10">
        <f>'aug 2022'!M20+'sep 2022'!L20</f>
        <v>0</v>
      </c>
      <c r="N20" s="67">
        <f t="shared" si="1"/>
        <v>154.37100000000007</v>
      </c>
      <c r="O20" s="11">
        <f>'aug 2022'!T20</f>
        <v>741.01099999999985</v>
      </c>
      <c r="P20" s="10">
        <v>0</v>
      </c>
      <c r="Q20" s="10">
        <f>'aug 2022'!Q20+'sep 2022'!P20</f>
        <v>399.08000000000004</v>
      </c>
      <c r="R20" s="10">
        <v>0</v>
      </c>
      <c r="S20" s="10">
        <f>'aug 2022'!S20+'sep 2022'!R20</f>
        <v>0</v>
      </c>
      <c r="T20" s="68">
        <f t="shared" si="2"/>
        <v>741.01099999999985</v>
      </c>
      <c r="U20" s="11">
        <f t="shared" si="3"/>
        <v>1919.8069999999993</v>
      </c>
      <c r="V20" s="12"/>
      <c r="W20" s="12"/>
    </row>
    <row r="21" spans="1:23" ht="42.75" customHeight="1">
      <c r="A21" s="8">
        <v>12</v>
      </c>
      <c r="B21" s="9" t="s">
        <v>29</v>
      </c>
      <c r="C21" s="10">
        <f>'aug 2022'!H21</f>
        <v>142.68999999999988</v>
      </c>
      <c r="D21" s="10">
        <v>0</v>
      </c>
      <c r="E21" s="10">
        <f>'aug 2022'!E21+'sep 2022'!D21</f>
        <v>0</v>
      </c>
      <c r="F21" s="10">
        <v>0</v>
      </c>
      <c r="G21" s="10">
        <f>'aug 2022'!G21+'aug 2022'!F21</f>
        <v>0</v>
      </c>
      <c r="H21" s="67">
        <f t="shared" si="0"/>
        <v>142.68999999999988</v>
      </c>
      <c r="I21" s="10">
        <f>'aug 2022'!N21</f>
        <v>50.65300000000002</v>
      </c>
      <c r="J21" s="10">
        <v>0.08</v>
      </c>
      <c r="K21" s="10">
        <f>'aug 2022'!K21+'sep 2022'!J21</f>
        <v>0.57000000000000006</v>
      </c>
      <c r="L21" s="10">
        <v>0</v>
      </c>
      <c r="M21" s="10">
        <f>'aug 2022'!M21+'sep 2022'!L21</f>
        <v>0</v>
      </c>
      <c r="N21" s="67">
        <f t="shared" si="1"/>
        <v>50.733000000000018</v>
      </c>
      <c r="O21" s="11">
        <f>'aug 2022'!T21</f>
        <v>310.79999999999995</v>
      </c>
      <c r="P21" s="10">
        <v>0</v>
      </c>
      <c r="Q21" s="10">
        <f>'aug 2022'!Q21+'sep 2022'!P21</f>
        <v>44.3</v>
      </c>
      <c r="R21" s="10">
        <v>0</v>
      </c>
      <c r="S21" s="10">
        <f>'aug 2022'!S21+'sep 2022'!R21</f>
        <v>0</v>
      </c>
      <c r="T21" s="68">
        <f t="shared" si="2"/>
        <v>310.79999999999995</v>
      </c>
      <c r="U21" s="11">
        <f t="shared" si="3"/>
        <v>504.22299999999984</v>
      </c>
      <c r="V21" s="12"/>
      <c r="W21" s="12"/>
    </row>
    <row r="22" spans="1:23" ht="42.75" customHeight="1">
      <c r="A22" s="8">
        <v>13</v>
      </c>
      <c r="B22" s="9" t="s">
        <v>30</v>
      </c>
      <c r="C22" s="10">
        <f>'aug 2022'!H22</f>
        <v>27.069999999999879</v>
      </c>
      <c r="D22" s="10">
        <v>0</v>
      </c>
      <c r="E22" s="10">
        <f>'aug 2022'!E22+'sep 2022'!D22</f>
        <v>0</v>
      </c>
      <c r="F22" s="10">
        <v>0</v>
      </c>
      <c r="G22" s="10">
        <f>'aug 2022'!G22+'aug 2022'!F22</f>
        <v>0</v>
      </c>
      <c r="H22" s="67">
        <f t="shared" si="0"/>
        <v>27.069999999999879</v>
      </c>
      <c r="I22" s="10">
        <f>'aug 2022'!N22</f>
        <v>15.730000000000006</v>
      </c>
      <c r="J22" s="10">
        <v>0</v>
      </c>
      <c r="K22" s="10">
        <f>'aug 2022'!K22+'sep 2022'!J22</f>
        <v>0.13</v>
      </c>
      <c r="L22" s="10">
        <v>0</v>
      </c>
      <c r="M22" s="10">
        <f>'aug 2022'!M22+'sep 2022'!L22</f>
        <v>0</v>
      </c>
      <c r="N22" s="67">
        <f t="shared" si="1"/>
        <v>15.730000000000006</v>
      </c>
      <c r="O22" s="11">
        <f>'aug 2022'!T22</f>
        <v>709.2299999999999</v>
      </c>
      <c r="P22" s="10">
        <f>0.4+65.98</f>
        <v>66.38000000000001</v>
      </c>
      <c r="Q22" s="10">
        <f>'aug 2022'!Q22+'sep 2022'!P22</f>
        <v>104.10000000000001</v>
      </c>
      <c r="R22" s="10">
        <v>0</v>
      </c>
      <c r="S22" s="10">
        <f>'aug 2022'!S22+'sep 2022'!R22</f>
        <v>0</v>
      </c>
      <c r="T22" s="68">
        <f t="shared" si="2"/>
        <v>775.6099999999999</v>
      </c>
      <c r="U22" s="11">
        <f t="shared" si="3"/>
        <v>818.40999999999974</v>
      </c>
      <c r="V22" s="12"/>
      <c r="W22" s="12"/>
    </row>
    <row r="23" spans="1:23" ht="42.75" customHeight="1">
      <c r="A23" s="8">
        <v>14</v>
      </c>
      <c r="B23" s="9" t="s">
        <v>31</v>
      </c>
      <c r="C23" s="10">
        <f>'aug 2022'!H23</f>
        <v>1115.1719999999998</v>
      </c>
      <c r="D23" s="10">
        <v>2.76</v>
      </c>
      <c r="E23" s="10">
        <f>'aug 2022'!E23+'sep 2022'!D23</f>
        <v>19.97</v>
      </c>
      <c r="F23" s="10">
        <v>0</v>
      </c>
      <c r="G23" s="10">
        <f>'aug 2022'!G23+'aug 2022'!F23</f>
        <v>75</v>
      </c>
      <c r="H23" s="67">
        <f t="shared" si="0"/>
        <v>1117.9319999999998</v>
      </c>
      <c r="I23" s="10">
        <f>'aug 2022'!N23</f>
        <v>36.783999999999992</v>
      </c>
      <c r="J23" s="10">
        <v>0.63</v>
      </c>
      <c r="K23" s="10">
        <f>'aug 2022'!K23+'sep 2022'!J23</f>
        <v>22.119999999999997</v>
      </c>
      <c r="L23" s="10">
        <v>0</v>
      </c>
      <c r="M23" s="10">
        <f>'aug 2022'!M23+'sep 2022'!L23</f>
        <v>0</v>
      </c>
      <c r="N23" s="67">
        <f t="shared" si="1"/>
        <v>37.413999999999994</v>
      </c>
      <c r="O23" s="11">
        <f>'aug 2022'!T23</f>
        <v>397.815</v>
      </c>
      <c r="P23" s="10">
        <v>0</v>
      </c>
      <c r="Q23" s="10">
        <f>'aug 2022'!Q23+'sep 2022'!P23</f>
        <v>230.53000000000003</v>
      </c>
      <c r="R23" s="10">
        <v>0</v>
      </c>
      <c r="S23" s="10">
        <f>'aug 2022'!S23+'sep 2022'!R23</f>
        <v>0</v>
      </c>
      <c r="T23" s="68">
        <f t="shared" si="2"/>
        <v>397.815</v>
      </c>
      <c r="U23" s="11">
        <f t="shared" si="3"/>
        <v>1553.1609999999998</v>
      </c>
      <c r="V23" s="12"/>
      <c r="W23" s="12"/>
    </row>
    <row r="24" spans="1:23" s="17" customFormat="1" ht="42.75" customHeight="1">
      <c r="A24" s="14"/>
      <c r="B24" s="15" t="s">
        <v>32</v>
      </c>
      <c r="C24" s="16">
        <f>SUM(C20:C23)</f>
        <v>2309.3569999999991</v>
      </c>
      <c r="D24" s="16">
        <f t="shared" ref="D24:T24" si="7">SUM(D20:D23)</f>
        <v>2.76</v>
      </c>
      <c r="E24" s="16">
        <f t="shared" si="7"/>
        <v>20.849999999999998</v>
      </c>
      <c r="F24" s="16">
        <f t="shared" si="7"/>
        <v>0</v>
      </c>
      <c r="G24" s="16">
        <f t="shared" si="7"/>
        <v>255</v>
      </c>
      <c r="H24" s="16">
        <f t="shared" si="7"/>
        <v>2312.1169999999988</v>
      </c>
      <c r="I24" s="16">
        <f t="shared" si="7"/>
        <v>256.76800000000009</v>
      </c>
      <c r="J24" s="16">
        <f t="shared" si="7"/>
        <v>1.48</v>
      </c>
      <c r="K24" s="16">
        <f t="shared" si="7"/>
        <v>24.889999999999997</v>
      </c>
      <c r="L24" s="16">
        <f t="shared" si="7"/>
        <v>0</v>
      </c>
      <c r="M24" s="16">
        <f t="shared" si="7"/>
        <v>0</v>
      </c>
      <c r="N24" s="16">
        <f t="shared" si="7"/>
        <v>258.2480000000001</v>
      </c>
      <c r="O24" s="16">
        <f t="shared" si="7"/>
        <v>2158.8559999999998</v>
      </c>
      <c r="P24" s="16">
        <f t="shared" si="7"/>
        <v>66.38000000000001</v>
      </c>
      <c r="Q24" s="16">
        <f t="shared" si="7"/>
        <v>778.01</v>
      </c>
      <c r="R24" s="16">
        <f t="shared" si="7"/>
        <v>0</v>
      </c>
      <c r="S24" s="16">
        <f t="shared" si="7"/>
        <v>0</v>
      </c>
      <c r="T24" s="16">
        <f t="shared" si="7"/>
        <v>2225.2359999999994</v>
      </c>
      <c r="U24" s="47">
        <f t="shared" si="3"/>
        <v>4795.6009999999987</v>
      </c>
      <c r="V24" s="90"/>
      <c r="W24" s="90"/>
    </row>
    <row r="25" spans="1:23" s="17" customFormat="1" ht="42.75" customHeight="1">
      <c r="A25" s="14"/>
      <c r="B25" s="15" t="s">
        <v>33</v>
      </c>
      <c r="C25" s="16">
        <f>C24+C19+C15+C11</f>
        <v>11032.562999999996</v>
      </c>
      <c r="D25" s="16">
        <f t="shared" ref="D25:T25" si="8">D24+D19+D15+D11</f>
        <v>4.59</v>
      </c>
      <c r="E25" s="16">
        <f t="shared" si="8"/>
        <v>124.15</v>
      </c>
      <c r="F25" s="16">
        <f t="shared" si="8"/>
        <v>480.94</v>
      </c>
      <c r="G25" s="16">
        <f t="shared" si="8"/>
        <v>413.49</v>
      </c>
      <c r="H25" s="16">
        <f t="shared" si="8"/>
        <v>10556.212999999994</v>
      </c>
      <c r="I25" s="16">
        <f t="shared" si="8"/>
        <v>1514.5610000000001</v>
      </c>
      <c r="J25" s="16">
        <f t="shared" si="8"/>
        <v>19.686</v>
      </c>
      <c r="K25" s="16">
        <f t="shared" si="8"/>
        <v>99.169000000000011</v>
      </c>
      <c r="L25" s="16">
        <f t="shared" si="8"/>
        <v>0.7</v>
      </c>
      <c r="M25" s="16">
        <f t="shared" si="8"/>
        <v>2.4500000000000002</v>
      </c>
      <c r="N25" s="16">
        <f t="shared" si="8"/>
        <v>1533.5470000000003</v>
      </c>
      <c r="O25" s="16">
        <f t="shared" si="8"/>
        <v>5056.2839999999997</v>
      </c>
      <c r="P25" s="16">
        <f t="shared" si="8"/>
        <v>353.65000000000003</v>
      </c>
      <c r="Q25" s="16">
        <f t="shared" si="8"/>
        <v>1372.1699999999998</v>
      </c>
      <c r="R25" s="16">
        <f t="shared" si="8"/>
        <v>0</v>
      </c>
      <c r="S25" s="16">
        <f t="shared" si="8"/>
        <v>70.959999999999994</v>
      </c>
      <c r="T25" s="16">
        <f t="shared" si="8"/>
        <v>5409.9340000000002</v>
      </c>
      <c r="U25" s="47">
        <f t="shared" si="3"/>
        <v>17499.693999999996</v>
      </c>
      <c r="V25" s="90"/>
      <c r="W25" s="90"/>
    </row>
    <row r="26" spans="1:23" ht="42.75" customHeight="1">
      <c r="A26" s="8">
        <v>15</v>
      </c>
      <c r="B26" s="9" t="s">
        <v>34</v>
      </c>
      <c r="C26" s="10">
        <f>'aug 2022'!H26</f>
        <v>1196.9919999999993</v>
      </c>
      <c r="D26" s="10">
        <v>2.44</v>
      </c>
      <c r="E26" s="10">
        <f>'aug 2022'!E26+'sep 2022'!D26</f>
        <v>15.789999999999997</v>
      </c>
      <c r="F26" s="10">
        <v>0</v>
      </c>
      <c r="G26" s="10">
        <f>'aug 2022'!G26+'aug 2022'!F26</f>
        <v>0</v>
      </c>
      <c r="H26" s="67">
        <f t="shared" si="0"/>
        <v>1199.4319999999993</v>
      </c>
      <c r="I26" s="10">
        <f>'aug 2022'!N26</f>
        <v>0.04</v>
      </c>
      <c r="J26" s="10">
        <v>0.04</v>
      </c>
      <c r="K26" s="10">
        <f>'aug 2022'!K26+'sep 2022'!J26</f>
        <v>0.08</v>
      </c>
      <c r="L26" s="10">
        <v>0</v>
      </c>
      <c r="M26" s="10">
        <f>'aug 2022'!M26+'sep 2022'!L26</f>
        <v>0</v>
      </c>
      <c r="N26" s="67">
        <f t="shared" si="1"/>
        <v>0.08</v>
      </c>
      <c r="O26" s="11">
        <f>'aug 2022'!T26</f>
        <v>166.05</v>
      </c>
      <c r="P26" s="10">
        <v>0.24</v>
      </c>
      <c r="Q26" s="10">
        <f>'aug 2022'!Q26+'sep 2022'!P26</f>
        <v>36.910000000000004</v>
      </c>
      <c r="R26" s="10">
        <v>0</v>
      </c>
      <c r="S26" s="10">
        <f>'aug 2022'!S26+'sep 2022'!R26</f>
        <v>0.18</v>
      </c>
      <c r="T26" s="68">
        <f t="shared" si="2"/>
        <v>166.29000000000002</v>
      </c>
      <c r="U26" s="11">
        <f t="shared" si="3"/>
        <v>1365.8019999999992</v>
      </c>
      <c r="V26" s="115"/>
      <c r="W26" s="12"/>
    </row>
    <row r="27" spans="1:23" ht="42.75" customHeight="1">
      <c r="A27" s="8">
        <v>16</v>
      </c>
      <c r="B27" s="9" t="s">
        <v>67</v>
      </c>
      <c r="C27" s="10">
        <f>'aug 2022'!H27</f>
        <v>10355.006999999992</v>
      </c>
      <c r="D27" s="10">
        <v>11.82</v>
      </c>
      <c r="E27" s="10">
        <f>'aug 2022'!E27+'sep 2022'!D27</f>
        <v>68.64</v>
      </c>
      <c r="F27" s="10">
        <v>0</v>
      </c>
      <c r="G27" s="10">
        <f>'aug 2022'!G27+'aug 2022'!F27</f>
        <v>0</v>
      </c>
      <c r="H27" s="67">
        <f t="shared" si="0"/>
        <v>10366.826999999992</v>
      </c>
      <c r="I27" s="10">
        <f>'aug 2022'!N27</f>
        <v>394.52499999999998</v>
      </c>
      <c r="J27" s="10">
        <v>1.17</v>
      </c>
      <c r="K27" s="10">
        <f>'aug 2022'!K27+'sep 2022'!J27</f>
        <v>10.66</v>
      </c>
      <c r="L27" s="10">
        <v>0</v>
      </c>
      <c r="M27" s="10">
        <f>'aug 2022'!M27+'sep 2022'!L27</f>
        <v>0</v>
      </c>
      <c r="N27" s="67">
        <f t="shared" si="1"/>
        <v>395.69499999999999</v>
      </c>
      <c r="O27" s="11">
        <f>'aug 2022'!T27</f>
        <v>35.250000000000014</v>
      </c>
      <c r="P27" s="10">
        <v>0.73</v>
      </c>
      <c r="Q27" s="10">
        <f>'aug 2022'!Q27+'sep 2022'!P27</f>
        <v>5.84</v>
      </c>
      <c r="R27" s="10">
        <v>0</v>
      </c>
      <c r="S27" s="10">
        <f>'aug 2022'!S27+'sep 2022'!R27</f>
        <v>45.21</v>
      </c>
      <c r="T27" s="68">
        <f t="shared" si="2"/>
        <v>35.980000000000011</v>
      </c>
      <c r="U27" s="11">
        <f t="shared" si="3"/>
        <v>10798.501999999991</v>
      </c>
      <c r="V27" s="115"/>
      <c r="W27" s="12"/>
    </row>
    <row r="28" spans="1:23" s="17" customFormat="1" ht="42.75" customHeight="1">
      <c r="A28" s="14"/>
      <c r="B28" s="15" t="s">
        <v>35</v>
      </c>
      <c r="C28" s="16">
        <f>SUM(C26:C27)</f>
        <v>11551.998999999993</v>
      </c>
      <c r="D28" s="16">
        <f t="shared" ref="D28:T28" si="9">SUM(D26:D27)</f>
        <v>14.26</v>
      </c>
      <c r="E28" s="16">
        <f t="shared" si="9"/>
        <v>84.429999999999993</v>
      </c>
      <c r="F28" s="16">
        <f t="shared" si="9"/>
        <v>0</v>
      </c>
      <c r="G28" s="16">
        <f t="shared" si="9"/>
        <v>0</v>
      </c>
      <c r="H28" s="16">
        <f t="shared" si="9"/>
        <v>11566.258999999991</v>
      </c>
      <c r="I28" s="16">
        <f t="shared" si="9"/>
        <v>394.565</v>
      </c>
      <c r="J28" s="16">
        <f t="shared" si="9"/>
        <v>1.21</v>
      </c>
      <c r="K28" s="16">
        <f t="shared" si="9"/>
        <v>10.74</v>
      </c>
      <c r="L28" s="16">
        <f t="shared" si="9"/>
        <v>0</v>
      </c>
      <c r="M28" s="16">
        <f t="shared" si="9"/>
        <v>0</v>
      </c>
      <c r="N28" s="16">
        <f t="shared" si="9"/>
        <v>395.77499999999998</v>
      </c>
      <c r="O28" s="16">
        <f t="shared" si="9"/>
        <v>201.3</v>
      </c>
      <c r="P28" s="16">
        <f t="shared" si="9"/>
        <v>0.97</v>
      </c>
      <c r="Q28" s="16">
        <f t="shared" si="9"/>
        <v>42.75</v>
      </c>
      <c r="R28" s="16">
        <f t="shared" si="9"/>
        <v>0</v>
      </c>
      <c r="S28" s="16">
        <f t="shared" si="9"/>
        <v>45.39</v>
      </c>
      <c r="T28" s="16">
        <f t="shared" si="9"/>
        <v>202.27000000000004</v>
      </c>
      <c r="U28" s="47">
        <f t="shared" si="3"/>
        <v>12164.303999999991</v>
      </c>
      <c r="V28" s="90"/>
      <c r="W28" s="90"/>
    </row>
    <row r="29" spans="1:23" ht="42.75" customHeight="1">
      <c r="A29" s="8">
        <v>17</v>
      </c>
      <c r="B29" s="9" t="s">
        <v>36</v>
      </c>
      <c r="C29" s="10">
        <f>'aug 2022'!H29</f>
        <v>4445.5030000000015</v>
      </c>
      <c r="D29" s="10">
        <v>6.89</v>
      </c>
      <c r="E29" s="10">
        <f>'aug 2022'!E29+'sep 2022'!D29</f>
        <v>50.78</v>
      </c>
      <c r="F29" s="10">
        <v>0</v>
      </c>
      <c r="G29" s="10">
        <f>'aug 2022'!G29+'aug 2022'!F29</f>
        <v>0</v>
      </c>
      <c r="H29" s="67">
        <f t="shared" si="0"/>
        <v>4452.3930000000018</v>
      </c>
      <c r="I29" s="10">
        <f>'aug 2022'!N29</f>
        <v>156.21</v>
      </c>
      <c r="J29" s="10">
        <v>28.49</v>
      </c>
      <c r="K29" s="10">
        <f>'aug 2022'!K29+'sep 2022'!J29</f>
        <v>113.00999999999999</v>
      </c>
      <c r="L29" s="10">
        <v>0</v>
      </c>
      <c r="M29" s="10">
        <f>'aug 2022'!M29+'sep 2022'!L29</f>
        <v>0</v>
      </c>
      <c r="N29" s="67">
        <f t="shared" si="1"/>
        <v>184.70000000000002</v>
      </c>
      <c r="O29" s="11">
        <f>'aug 2022'!T29</f>
        <v>138.08000000000001</v>
      </c>
      <c r="P29" s="10">
        <v>0</v>
      </c>
      <c r="Q29" s="10">
        <f>'aug 2022'!Q29+'sep 2022'!P29</f>
        <v>0</v>
      </c>
      <c r="R29" s="10">
        <v>0</v>
      </c>
      <c r="S29" s="10">
        <f>'aug 2022'!S29+'sep 2022'!R29</f>
        <v>0</v>
      </c>
      <c r="T29" s="11">
        <f t="shared" si="2"/>
        <v>138.08000000000001</v>
      </c>
      <c r="U29" s="11">
        <f t="shared" si="3"/>
        <v>4775.1730000000016</v>
      </c>
      <c r="V29" s="12"/>
      <c r="W29" s="12"/>
    </row>
    <row r="30" spans="1:23" ht="42.75" customHeight="1">
      <c r="A30" s="8">
        <v>18</v>
      </c>
      <c r="B30" s="9" t="s">
        <v>37</v>
      </c>
      <c r="C30" s="10">
        <f>'aug 2022'!H30</f>
        <v>6248.2740000000022</v>
      </c>
      <c r="D30" s="10">
        <f>12.59+145.06</f>
        <v>157.65</v>
      </c>
      <c r="E30" s="10">
        <f>'aug 2022'!E30+'sep 2022'!D30</f>
        <v>230.58</v>
      </c>
      <c r="F30" s="10">
        <v>0</v>
      </c>
      <c r="G30" s="10">
        <f>'aug 2022'!G30+'aug 2022'!F30</f>
        <v>0</v>
      </c>
      <c r="H30" s="67">
        <f t="shared" si="0"/>
        <v>6405.9240000000018</v>
      </c>
      <c r="I30" s="10">
        <f>'aug 2022'!N30</f>
        <v>60.45</v>
      </c>
      <c r="J30" s="10">
        <v>70.349999999999994</v>
      </c>
      <c r="K30" s="10">
        <f>'aug 2022'!K30+'sep 2022'!J30</f>
        <v>130.80000000000001</v>
      </c>
      <c r="L30" s="10">
        <v>0</v>
      </c>
      <c r="M30" s="10">
        <f>'aug 2022'!M30+'sep 2022'!L30</f>
        <v>0</v>
      </c>
      <c r="N30" s="67">
        <f t="shared" si="1"/>
        <v>130.80000000000001</v>
      </c>
      <c r="O30" s="11">
        <f>'aug 2022'!T30</f>
        <v>0.22</v>
      </c>
      <c r="P30" s="10">
        <v>44.92</v>
      </c>
      <c r="Q30" s="10">
        <f>'aug 2022'!Q30+'sep 2022'!P30</f>
        <v>44.92</v>
      </c>
      <c r="R30" s="10">
        <v>0</v>
      </c>
      <c r="S30" s="10">
        <f>'aug 2022'!S30+'sep 2022'!R30</f>
        <v>0</v>
      </c>
      <c r="T30" s="11">
        <f t="shared" si="2"/>
        <v>45.14</v>
      </c>
      <c r="U30" s="11">
        <f t="shared" si="3"/>
        <v>6581.8640000000023</v>
      </c>
      <c r="V30" s="12"/>
      <c r="W30" s="12"/>
    </row>
    <row r="31" spans="1:23" ht="42.75" customHeight="1">
      <c r="A31" s="8">
        <v>19</v>
      </c>
      <c r="B31" s="9" t="s">
        <v>38</v>
      </c>
      <c r="C31" s="10">
        <f>'aug 2022'!H31</f>
        <v>3092.097999999999</v>
      </c>
      <c r="D31" s="10">
        <v>2.96</v>
      </c>
      <c r="E31" s="10">
        <f>'aug 2022'!E31+'sep 2022'!D31</f>
        <v>24.375000000000004</v>
      </c>
      <c r="F31" s="10">
        <v>0</v>
      </c>
      <c r="G31" s="10">
        <f>'aug 2022'!G31+'aug 2022'!F31</f>
        <v>3.38</v>
      </c>
      <c r="H31" s="67">
        <f t="shared" si="0"/>
        <v>3095.0579999999991</v>
      </c>
      <c r="I31" s="10">
        <f>'aug 2022'!N31</f>
        <v>50.180000000000007</v>
      </c>
      <c r="J31" s="10">
        <v>0</v>
      </c>
      <c r="K31" s="10">
        <f>'aug 2022'!K31+'sep 2022'!J31</f>
        <v>47.02</v>
      </c>
      <c r="L31" s="10">
        <v>0</v>
      </c>
      <c r="M31" s="10">
        <f>'aug 2022'!M31+'sep 2022'!L31</f>
        <v>0</v>
      </c>
      <c r="N31" s="67">
        <f t="shared" si="1"/>
        <v>50.180000000000007</v>
      </c>
      <c r="O31" s="11">
        <f>'aug 2022'!T31</f>
        <v>128.47999999999999</v>
      </c>
      <c r="P31" s="10">
        <v>48.88</v>
      </c>
      <c r="Q31" s="10">
        <f>'aug 2022'!Q31+'sep 2022'!P31</f>
        <v>48.88</v>
      </c>
      <c r="R31" s="10">
        <v>0</v>
      </c>
      <c r="S31" s="10">
        <f>'aug 2022'!S31+'sep 2022'!R31</f>
        <v>0</v>
      </c>
      <c r="T31" s="11">
        <f t="shared" si="2"/>
        <v>177.35999999999999</v>
      </c>
      <c r="U31" s="11">
        <f t="shared" si="3"/>
        <v>3322.597999999999</v>
      </c>
      <c r="V31" s="12"/>
      <c r="W31" s="12"/>
    </row>
    <row r="32" spans="1:23" ht="42.75" customHeight="1">
      <c r="A32" s="8">
        <v>20</v>
      </c>
      <c r="B32" s="9" t="s">
        <v>39</v>
      </c>
      <c r="C32" s="10">
        <f>'aug 2022'!H32</f>
        <v>4381.96</v>
      </c>
      <c r="D32" s="10">
        <v>6.77</v>
      </c>
      <c r="E32" s="10">
        <f>'aug 2022'!E32+'sep 2022'!D32</f>
        <v>20.049999999999997</v>
      </c>
      <c r="F32" s="10">
        <v>12.81</v>
      </c>
      <c r="G32" s="10">
        <f>'aug 2022'!G32+'aug 2022'!F32</f>
        <v>0</v>
      </c>
      <c r="H32" s="67">
        <f t="shared" si="0"/>
        <v>4375.92</v>
      </c>
      <c r="I32" s="10">
        <f>'aug 2022'!N32</f>
        <v>197.68</v>
      </c>
      <c r="J32" s="10">
        <f>0.21+22.86</f>
        <v>23.07</v>
      </c>
      <c r="K32" s="10">
        <f>'aug 2022'!K32+'sep 2022'!J32</f>
        <v>86.91</v>
      </c>
      <c r="L32" s="10">
        <v>0</v>
      </c>
      <c r="M32" s="10">
        <f>'aug 2022'!M32+'sep 2022'!L32</f>
        <v>0</v>
      </c>
      <c r="N32" s="67">
        <f t="shared" si="1"/>
        <v>220.75</v>
      </c>
      <c r="O32" s="11">
        <f>'aug 2022'!T32</f>
        <v>243.64999999999995</v>
      </c>
      <c r="P32" s="10">
        <v>0</v>
      </c>
      <c r="Q32" s="10">
        <f>'aug 2022'!Q32+'sep 2022'!P32</f>
        <v>0.01</v>
      </c>
      <c r="R32" s="10">
        <v>0</v>
      </c>
      <c r="S32" s="10">
        <f>'aug 2022'!S32+'sep 2022'!R32</f>
        <v>27.41</v>
      </c>
      <c r="T32" s="68">
        <f t="shared" si="2"/>
        <v>243.64999999999995</v>
      </c>
      <c r="U32" s="11">
        <f t="shared" si="3"/>
        <v>4840.32</v>
      </c>
      <c r="V32" s="12"/>
      <c r="W32" s="12"/>
    </row>
    <row r="33" spans="1:23" s="17" customFormat="1" ht="42.75" customHeight="1">
      <c r="A33" s="14"/>
      <c r="B33" s="15" t="s">
        <v>68</v>
      </c>
      <c r="C33" s="16">
        <f>SUM(C29:C32)</f>
        <v>18167.835000000003</v>
      </c>
      <c r="D33" s="16">
        <f t="shared" ref="D33:T33" si="10">SUM(D29:D32)</f>
        <v>174.27</v>
      </c>
      <c r="E33" s="16">
        <f t="shared" si="10"/>
        <v>325.78500000000003</v>
      </c>
      <c r="F33" s="16">
        <f t="shared" si="10"/>
        <v>12.81</v>
      </c>
      <c r="G33" s="16">
        <f t="shared" si="10"/>
        <v>3.38</v>
      </c>
      <c r="H33" s="16">
        <f t="shared" si="10"/>
        <v>18329.295000000002</v>
      </c>
      <c r="I33" s="16">
        <f t="shared" si="10"/>
        <v>464.52000000000004</v>
      </c>
      <c r="J33" s="16">
        <f t="shared" si="10"/>
        <v>121.91</v>
      </c>
      <c r="K33" s="16">
        <f t="shared" si="10"/>
        <v>377.74</v>
      </c>
      <c r="L33" s="16">
        <f t="shared" si="10"/>
        <v>0</v>
      </c>
      <c r="M33" s="16">
        <f t="shared" si="10"/>
        <v>0</v>
      </c>
      <c r="N33" s="16">
        <f t="shared" si="10"/>
        <v>586.43000000000006</v>
      </c>
      <c r="O33" s="16">
        <f t="shared" si="10"/>
        <v>510.42999999999995</v>
      </c>
      <c r="P33" s="16">
        <f t="shared" si="10"/>
        <v>93.800000000000011</v>
      </c>
      <c r="Q33" s="16">
        <f t="shared" si="10"/>
        <v>93.810000000000016</v>
      </c>
      <c r="R33" s="16">
        <f t="shared" si="10"/>
        <v>0</v>
      </c>
      <c r="S33" s="16">
        <f t="shared" si="10"/>
        <v>27.41</v>
      </c>
      <c r="T33" s="16">
        <f t="shared" si="10"/>
        <v>604.23</v>
      </c>
      <c r="U33" s="47">
        <f t="shared" si="3"/>
        <v>19519.955000000002</v>
      </c>
      <c r="V33" s="90"/>
      <c r="W33" s="90"/>
    </row>
    <row r="34" spans="1:23" ht="42.75" customHeight="1">
      <c r="A34" s="8">
        <v>21</v>
      </c>
      <c r="B34" s="9" t="s">
        <v>40</v>
      </c>
      <c r="C34" s="10">
        <f>'aug 2022'!H34</f>
        <v>5911.9600000000019</v>
      </c>
      <c r="D34" s="10">
        <v>9.73</v>
      </c>
      <c r="E34" s="10">
        <f>'aug 2022'!E34+'sep 2022'!D34</f>
        <v>55.58</v>
      </c>
      <c r="F34" s="10">
        <v>0</v>
      </c>
      <c r="G34" s="10">
        <f>'aug 2022'!G34+'aug 2022'!F34</f>
        <v>0</v>
      </c>
      <c r="H34" s="10">
        <f t="shared" si="0"/>
        <v>5921.6900000000014</v>
      </c>
      <c r="I34" s="10">
        <f>'aug 2022'!N34</f>
        <v>2</v>
      </c>
      <c r="J34" s="10">
        <v>0</v>
      </c>
      <c r="K34" s="10">
        <f>'aug 2022'!K34+'sep 2022'!J34</f>
        <v>2</v>
      </c>
      <c r="L34" s="10">
        <v>0</v>
      </c>
      <c r="M34" s="10">
        <f>'aug 2022'!M34+'sep 2022'!L34</f>
        <v>0</v>
      </c>
      <c r="N34" s="67">
        <f t="shared" si="1"/>
        <v>2</v>
      </c>
      <c r="O34" s="11">
        <f>'aug 2022'!T34</f>
        <v>38.700000000000003</v>
      </c>
      <c r="P34" s="10">
        <v>0</v>
      </c>
      <c r="Q34" s="10">
        <f>'aug 2022'!Q34+'sep 2022'!P34</f>
        <v>38.700000000000003</v>
      </c>
      <c r="R34" s="10">
        <v>0</v>
      </c>
      <c r="S34" s="10">
        <f>'aug 2022'!S34+'sep 2022'!R34</f>
        <v>0</v>
      </c>
      <c r="T34" s="68">
        <f t="shared" si="2"/>
        <v>38.700000000000003</v>
      </c>
      <c r="U34" s="11">
        <f t="shared" si="3"/>
        <v>5962.3900000000012</v>
      </c>
      <c r="V34" s="18"/>
      <c r="W34" s="18"/>
    </row>
    <row r="35" spans="1:23" ht="42.75" customHeight="1">
      <c r="A35" s="8">
        <v>22</v>
      </c>
      <c r="B35" s="9" t="s">
        <v>41</v>
      </c>
      <c r="C35" s="10">
        <f>'aug 2022'!H35</f>
        <v>4687.8850000000011</v>
      </c>
      <c r="D35" s="10">
        <v>31.21</v>
      </c>
      <c r="E35" s="10">
        <f>'aug 2022'!E35+'sep 2022'!D35</f>
        <v>94.19</v>
      </c>
      <c r="F35" s="10">
        <v>0</v>
      </c>
      <c r="G35" s="10">
        <f>'aug 2022'!G35+'aug 2022'!F35</f>
        <v>0</v>
      </c>
      <c r="H35" s="10">
        <f t="shared" si="0"/>
        <v>4719.0950000000012</v>
      </c>
      <c r="I35" s="10">
        <f>'aug 2022'!N35</f>
        <v>0.1</v>
      </c>
      <c r="J35" s="10">
        <v>0</v>
      </c>
      <c r="K35" s="10">
        <f>'aug 2022'!K35+'sep 2022'!J35</f>
        <v>0</v>
      </c>
      <c r="L35" s="10">
        <v>0</v>
      </c>
      <c r="M35" s="10">
        <f>'aug 2022'!M35+'sep 2022'!L35</f>
        <v>0</v>
      </c>
      <c r="N35" s="67">
        <f t="shared" si="1"/>
        <v>0.1</v>
      </c>
      <c r="O35" s="11">
        <f>'aug 2022'!T35</f>
        <v>16.43</v>
      </c>
      <c r="P35" s="10">
        <v>100.93</v>
      </c>
      <c r="Q35" s="10">
        <f>'aug 2022'!Q35+'sep 2022'!P35</f>
        <v>100.93</v>
      </c>
      <c r="R35" s="10">
        <v>0</v>
      </c>
      <c r="S35" s="10">
        <f>'aug 2022'!S35+'sep 2022'!R35</f>
        <v>0</v>
      </c>
      <c r="T35" s="68">
        <f t="shared" si="2"/>
        <v>117.36000000000001</v>
      </c>
      <c r="U35" s="11">
        <f t="shared" si="3"/>
        <v>4836.5550000000012</v>
      </c>
      <c r="V35" s="18"/>
      <c r="W35" s="18"/>
    </row>
    <row r="36" spans="1:23" ht="42.75" customHeight="1">
      <c r="A36" s="8">
        <v>23</v>
      </c>
      <c r="B36" s="9" t="s">
        <v>42</v>
      </c>
      <c r="C36" s="10">
        <f>'aug 2022'!H36</f>
        <v>19368.120000000003</v>
      </c>
      <c r="D36" s="10">
        <v>0</v>
      </c>
      <c r="E36" s="10">
        <f>'aug 2022'!E36+'sep 2022'!D36</f>
        <v>1.25</v>
      </c>
      <c r="F36" s="10">
        <v>0</v>
      </c>
      <c r="G36" s="10">
        <f>'aug 2022'!G36+'aug 2022'!F36</f>
        <v>0</v>
      </c>
      <c r="H36" s="10">
        <f t="shared" si="0"/>
        <v>19368.120000000003</v>
      </c>
      <c r="I36" s="10">
        <f>'aug 2022'!N36</f>
        <v>8.5</v>
      </c>
      <c r="J36" s="10">
        <v>0</v>
      </c>
      <c r="K36" s="10">
        <f>'aug 2022'!K36+'sep 2022'!J36</f>
        <v>0</v>
      </c>
      <c r="L36" s="10">
        <v>0</v>
      </c>
      <c r="M36" s="10">
        <f>'aug 2022'!M36+'sep 2022'!L36</f>
        <v>0</v>
      </c>
      <c r="N36" s="67">
        <f t="shared" si="1"/>
        <v>8.5</v>
      </c>
      <c r="O36" s="11">
        <f>'aug 2022'!T36</f>
        <v>72.39</v>
      </c>
      <c r="P36" s="10">
        <v>0</v>
      </c>
      <c r="Q36" s="10">
        <f>'aug 2022'!Q36+'sep 2022'!P36</f>
        <v>72.39</v>
      </c>
      <c r="R36" s="10">
        <v>0</v>
      </c>
      <c r="S36" s="10">
        <f>'aug 2022'!S36+'sep 2022'!R36</f>
        <v>0</v>
      </c>
      <c r="T36" s="68">
        <f t="shared" si="2"/>
        <v>72.39</v>
      </c>
      <c r="U36" s="11">
        <f t="shared" si="3"/>
        <v>19449.010000000002</v>
      </c>
      <c r="V36" s="18"/>
      <c r="W36" s="18"/>
    </row>
    <row r="37" spans="1:23" ht="42.75" customHeight="1">
      <c r="A37" s="8">
        <v>24</v>
      </c>
      <c r="B37" s="9" t="s">
        <v>43</v>
      </c>
      <c r="C37" s="10">
        <f>'aug 2022'!H37</f>
        <v>7013.079999999999</v>
      </c>
      <c r="D37" s="10">
        <v>1.54</v>
      </c>
      <c r="E37" s="10">
        <f>'aug 2022'!E37+'sep 2022'!D37</f>
        <v>7.0200000000000005</v>
      </c>
      <c r="F37" s="10">
        <v>0</v>
      </c>
      <c r="G37" s="10">
        <f>'aug 2022'!G37+'aug 2022'!F37</f>
        <v>0</v>
      </c>
      <c r="H37" s="67">
        <f t="shared" si="0"/>
        <v>7014.619999999999</v>
      </c>
      <c r="I37" s="10">
        <f>'aug 2022'!N37</f>
        <v>0</v>
      </c>
      <c r="J37" s="10">
        <v>0</v>
      </c>
      <c r="K37" s="10">
        <f>'aug 2022'!K37+'sep 2022'!J37</f>
        <v>0</v>
      </c>
      <c r="L37" s="10">
        <v>0</v>
      </c>
      <c r="M37" s="10">
        <f>'aug 2022'!M37+'sep 2022'!L37</f>
        <v>0</v>
      </c>
      <c r="N37" s="67">
        <f t="shared" si="1"/>
        <v>0</v>
      </c>
      <c r="O37" s="11">
        <f>'aug 2022'!T37</f>
        <v>3.1</v>
      </c>
      <c r="P37" s="10">
        <v>0</v>
      </c>
      <c r="Q37" s="10">
        <f>'aug 2022'!Q37+'sep 2022'!P37</f>
        <v>0</v>
      </c>
      <c r="R37" s="10">
        <v>0</v>
      </c>
      <c r="S37" s="10">
        <f>'aug 2022'!S37+'sep 2022'!R37</f>
        <v>0</v>
      </c>
      <c r="T37" s="68">
        <f t="shared" si="2"/>
        <v>3.1</v>
      </c>
      <c r="U37" s="11">
        <f t="shared" si="3"/>
        <v>7017.7199999999993</v>
      </c>
      <c r="V37" s="18"/>
      <c r="W37" s="18"/>
    </row>
    <row r="38" spans="1:23" s="17" customFormat="1" ht="42.75" customHeight="1">
      <c r="A38" s="14"/>
      <c r="B38" s="15" t="s">
        <v>44</v>
      </c>
      <c r="C38" s="16">
        <f>SUM(C34:C37)</f>
        <v>36981.045000000006</v>
      </c>
      <c r="D38" s="16">
        <f t="shared" ref="D38:T38" si="11">SUM(D34:D37)</f>
        <v>42.48</v>
      </c>
      <c r="E38" s="16">
        <f t="shared" si="11"/>
        <v>158.04</v>
      </c>
      <c r="F38" s="16">
        <f t="shared" si="11"/>
        <v>0</v>
      </c>
      <c r="G38" s="16">
        <f t="shared" si="11"/>
        <v>0</v>
      </c>
      <c r="H38" s="16">
        <f t="shared" si="11"/>
        <v>37023.525000000009</v>
      </c>
      <c r="I38" s="16">
        <f t="shared" si="11"/>
        <v>10.6</v>
      </c>
      <c r="J38" s="16">
        <f t="shared" si="11"/>
        <v>0</v>
      </c>
      <c r="K38" s="16">
        <f t="shared" si="11"/>
        <v>2</v>
      </c>
      <c r="L38" s="16">
        <f t="shared" si="11"/>
        <v>0</v>
      </c>
      <c r="M38" s="16">
        <f t="shared" si="11"/>
        <v>0</v>
      </c>
      <c r="N38" s="16">
        <f t="shared" si="11"/>
        <v>10.6</v>
      </c>
      <c r="O38" s="16">
        <f t="shared" si="11"/>
        <v>130.62</v>
      </c>
      <c r="P38" s="16">
        <f t="shared" si="11"/>
        <v>100.93</v>
      </c>
      <c r="Q38" s="16">
        <f t="shared" si="11"/>
        <v>212.01999999999998</v>
      </c>
      <c r="R38" s="16">
        <f t="shared" si="11"/>
        <v>0</v>
      </c>
      <c r="S38" s="16">
        <f t="shared" si="11"/>
        <v>0</v>
      </c>
      <c r="T38" s="16">
        <f t="shared" si="11"/>
        <v>231.54999999999998</v>
      </c>
      <c r="U38" s="47">
        <f t="shared" si="3"/>
        <v>37265.67500000001</v>
      </c>
      <c r="V38" s="90"/>
      <c r="W38" s="90"/>
    </row>
    <row r="39" spans="1:23" s="17" customFormat="1" ht="42.75" customHeight="1">
      <c r="A39" s="14"/>
      <c r="B39" s="15" t="s">
        <v>45</v>
      </c>
      <c r="C39" s="16">
        <f>C38+C33+C28</f>
        <v>66700.879000000001</v>
      </c>
      <c r="D39" s="16">
        <f t="shared" ref="D39:T39" si="12">D38+D33+D28</f>
        <v>231.01</v>
      </c>
      <c r="E39" s="16">
        <f t="shared" si="12"/>
        <v>568.255</v>
      </c>
      <c r="F39" s="16">
        <f t="shared" si="12"/>
        <v>12.81</v>
      </c>
      <c r="G39" s="16">
        <f t="shared" si="12"/>
        <v>3.38</v>
      </c>
      <c r="H39" s="16">
        <f t="shared" si="12"/>
        <v>66919.078999999998</v>
      </c>
      <c r="I39" s="16">
        <f t="shared" si="12"/>
        <v>869.68500000000006</v>
      </c>
      <c r="J39" s="16">
        <f t="shared" si="12"/>
        <v>123.11999999999999</v>
      </c>
      <c r="K39" s="16">
        <f t="shared" si="12"/>
        <v>390.48</v>
      </c>
      <c r="L39" s="16">
        <f t="shared" si="12"/>
        <v>0</v>
      </c>
      <c r="M39" s="16">
        <f t="shared" si="12"/>
        <v>0</v>
      </c>
      <c r="N39" s="16">
        <f t="shared" si="12"/>
        <v>992.80500000000006</v>
      </c>
      <c r="O39" s="16">
        <f t="shared" si="12"/>
        <v>842.34999999999991</v>
      </c>
      <c r="P39" s="16">
        <f t="shared" si="12"/>
        <v>195.70000000000002</v>
      </c>
      <c r="Q39" s="16">
        <f t="shared" si="12"/>
        <v>348.58</v>
      </c>
      <c r="R39" s="16">
        <f t="shared" si="12"/>
        <v>0</v>
      </c>
      <c r="S39" s="16">
        <f t="shared" si="12"/>
        <v>72.8</v>
      </c>
      <c r="T39" s="16">
        <f t="shared" si="12"/>
        <v>1038.05</v>
      </c>
      <c r="U39" s="47">
        <f t="shared" si="3"/>
        <v>68949.933999999994</v>
      </c>
      <c r="V39" s="90"/>
      <c r="W39" s="90"/>
    </row>
    <row r="40" spans="1:23" ht="42.75" customHeight="1">
      <c r="A40" s="8">
        <v>25</v>
      </c>
      <c r="B40" s="9" t="s">
        <v>46</v>
      </c>
      <c r="C40" s="10">
        <f>'aug 2022'!H40</f>
        <v>13862.318000000003</v>
      </c>
      <c r="D40" s="10">
        <v>5.33</v>
      </c>
      <c r="E40" s="10">
        <f>'aug 2022'!E40+'sep 2022'!D40</f>
        <v>82.559999999999988</v>
      </c>
      <c r="F40" s="10">
        <v>0</v>
      </c>
      <c r="G40" s="10">
        <f>'aug 2022'!G40+'aug 2022'!F40</f>
        <v>0</v>
      </c>
      <c r="H40" s="67">
        <f t="shared" si="0"/>
        <v>13867.648000000003</v>
      </c>
      <c r="I40" s="10">
        <f>'aug 2022'!N40</f>
        <v>37.799999999999997</v>
      </c>
      <c r="J40" s="10">
        <v>0</v>
      </c>
      <c r="K40" s="10">
        <f>'aug 2022'!K40+'sep 2022'!J40</f>
        <v>37.799999999999997</v>
      </c>
      <c r="L40" s="10">
        <v>0</v>
      </c>
      <c r="M40" s="10">
        <f>'aug 2022'!M40+'sep 2022'!L40</f>
        <v>0</v>
      </c>
      <c r="N40" s="10">
        <f t="shared" si="1"/>
        <v>37.799999999999997</v>
      </c>
      <c r="O40" s="11">
        <f>'aug 2022'!T40</f>
        <v>0</v>
      </c>
      <c r="P40" s="10">
        <v>0</v>
      </c>
      <c r="Q40" s="10">
        <f>'aug 2022'!Q40+'sep 2022'!P40</f>
        <v>0</v>
      </c>
      <c r="R40" s="10">
        <v>0</v>
      </c>
      <c r="S40" s="10">
        <f>'aug 2022'!S40+'sep 2022'!R40</f>
        <v>0</v>
      </c>
      <c r="T40" s="11">
        <f t="shared" si="2"/>
        <v>0</v>
      </c>
      <c r="U40" s="11">
        <f t="shared" si="3"/>
        <v>13905.448000000002</v>
      </c>
      <c r="V40" s="12"/>
      <c r="W40" s="12"/>
    </row>
    <row r="41" spans="1:23" ht="42.75" customHeight="1">
      <c r="A41" s="8">
        <v>26</v>
      </c>
      <c r="B41" s="9" t="s">
        <v>47</v>
      </c>
      <c r="C41" s="10">
        <f>'aug 2022'!H41</f>
        <v>10485.815999999993</v>
      </c>
      <c r="D41" s="10">
        <v>8.25</v>
      </c>
      <c r="E41" s="10">
        <f>'aug 2022'!E41+'sep 2022'!D41</f>
        <v>384.35</v>
      </c>
      <c r="F41" s="10">
        <v>0</v>
      </c>
      <c r="G41" s="10">
        <f>'aug 2022'!G41+'aug 2022'!F41</f>
        <v>0</v>
      </c>
      <c r="H41" s="10">
        <f t="shared" si="0"/>
        <v>10494.065999999993</v>
      </c>
      <c r="I41" s="10">
        <f>'aug 2022'!N41</f>
        <v>0</v>
      </c>
      <c r="J41" s="10">
        <v>0</v>
      </c>
      <c r="K41" s="10">
        <f>'aug 2022'!K41+'sep 2022'!J41</f>
        <v>0</v>
      </c>
      <c r="L41" s="10">
        <v>0</v>
      </c>
      <c r="M41" s="10">
        <f>'aug 2022'!M41+'sep 2022'!L41</f>
        <v>0</v>
      </c>
      <c r="N41" s="67">
        <f t="shared" si="1"/>
        <v>0</v>
      </c>
      <c r="O41" s="11">
        <f>'aug 2022'!T41</f>
        <v>0</v>
      </c>
      <c r="P41" s="10">
        <v>0</v>
      </c>
      <c r="Q41" s="10">
        <f>'aug 2022'!Q41+'sep 2022'!P41</f>
        <v>0</v>
      </c>
      <c r="R41" s="10">
        <v>0</v>
      </c>
      <c r="S41" s="10">
        <f>'aug 2022'!S41+'sep 2022'!R41</f>
        <v>0</v>
      </c>
      <c r="T41" s="11">
        <f t="shared" si="2"/>
        <v>0</v>
      </c>
      <c r="U41" s="11">
        <f t="shared" si="3"/>
        <v>10494.065999999993</v>
      </c>
      <c r="V41" s="12"/>
      <c r="W41" s="12"/>
    </row>
    <row r="42" spans="1:23" ht="42.75" customHeight="1">
      <c r="A42" s="8">
        <v>27</v>
      </c>
      <c r="B42" s="9" t="s">
        <v>48</v>
      </c>
      <c r="C42" s="10">
        <f>'aug 2022'!H42</f>
        <v>23910.929</v>
      </c>
      <c r="D42" s="10">
        <v>3.83</v>
      </c>
      <c r="E42" s="10">
        <f>'aug 2022'!E42+'sep 2022'!D42</f>
        <v>40.844999999999999</v>
      </c>
      <c r="F42" s="10">
        <v>0</v>
      </c>
      <c r="G42" s="10">
        <f>'aug 2022'!G42+'aug 2022'!F42</f>
        <v>0</v>
      </c>
      <c r="H42" s="10">
        <f t="shared" si="0"/>
        <v>23914.759000000002</v>
      </c>
      <c r="I42" s="10">
        <f>'aug 2022'!N42</f>
        <v>0</v>
      </c>
      <c r="J42" s="10">
        <v>0</v>
      </c>
      <c r="K42" s="10">
        <f>'aug 2022'!K42+'sep 2022'!J42</f>
        <v>0</v>
      </c>
      <c r="L42" s="10">
        <v>0</v>
      </c>
      <c r="M42" s="10">
        <f>'aug 2022'!M42+'sep 2022'!L42</f>
        <v>0</v>
      </c>
      <c r="N42" s="67">
        <f t="shared" si="1"/>
        <v>0</v>
      </c>
      <c r="O42" s="11">
        <f>'aug 2022'!T42</f>
        <v>0</v>
      </c>
      <c r="P42" s="10">
        <v>0</v>
      </c>
      <c r="Q42" s="10">
        <f>'aug 2022'!Q42+'sep 2022'!P42</f>
        <v>0</v>
      </c>
      <c r="R42" s="10">
        <v>0</v>
      </c>
      <c r="S42" s="10">
        <f>'aug 2022'!S42+'sep 2022'!R42</f>
        <v>0</v>
      </c>
      <c r="T42" s="11">
        <f t="shared" si="2"/>
        <v>0</v>
      </c>
      <c r="U42" s="11">
        <f t="shared" si="3"/>
        <v>23914.759000000002</v>
      </c>
      <c r="V42" s="12"/>
      <c r="W42" s="12"/>
    </row>
    <row r="43" spans="1:23" ht="42.75" customHeight="1">
      <c r="A43" s="8">
        <v>28</v>
      </c>
      <c r="B43" s="9" t="s">
        <v>49</v>
      </c>
      <c r="C43" s="10">
        <f>'aug 2022'!H43</f>
        <v>2329.0230000000001</v>
      </c>
      <c r="D43" s="10">
        <v>40.54</v>
      </c>
      <c r="E43" s="10">
        <f>'aug 2022'!E43+'sep 2022'!D43</f>
        <v>83.1</v>
      </c>
      <c r="F43" s="10">
        <v>0</v>
      </c>
      <c r="G43" s="10">
        <f>'aug 2022'!G43+'aug 2022'!F43</f>
        <v>0</v>
      </c>
      <c r="H43" s="10">
        <f t="shared" si="0"/>
        <v>2369.5630000000001</v>
      </c>
      <c r="I43" s="10">
        <f>'aug 2022'!N43</f>
        <v>0</v>
      </c>
      <c r="J43" s="10">
        <v>0</v>
      </c>
      <c r="K43" s="10">
        <f>'aug 2022'!K43+'sep 2022'!J43</f>
        <v>0</v>
      </c>
      <c r="L43" s="10">
        <v>0</v>
      </c>
      <c r="M43" s="10">
        <f>'aug 2022'!M43+'sep 2022'!L43</f>
        <v>0</v>
      </c>
      <c r="N43" s="67">
        <f t="shared" si="1"/>
        <v>0</v>
      </c>
      <c r="O43" s="11">
        <f>'aug 2022'!T43</f>
        <v>0</v>
      </c>
      <c r="P43" s="10">
        <v>0</v>
      </c>
      <c r="Q43" s="10">
        <f>'aug 2022'!Q43+'sep 2022'!P43</f>
        <v>0</v>
      </c>
      <c r="R43" s="10">
        <v>0</v>
      </c>
      <c r="S43" s="10">
        <f>'aug 2022'!S43+'sep 2022'!R43</f>
        <v>0</v>
      </c>
      <c r="T43" s="11">
        <f t="shared" si="2"/>
        <v>0</v>
      </c>
      <c r="U43" s="11">
        <f t="shared" si="3"/>
        <v>2369.5630000000001</v>
      </c>
      <c r="V43" s="12"/>
      <c r="W43" s="12"/>
    </row>
    <row r="44" spans="1:23" s="17" customFormat="1" ht="42.75" customHeight="1">
      <c r="A44" s="14"/>
      <c r="B44" s="15" t="s">
        <v>50</v>
      </c>
      <c r="C44" s="16">
        <f>SUM(C40:C43)</f>
        <v>50588.085999999996</v>
      </c>
      <c r="D44" s="16">
        <f t="shared" ref="D44:T44" si="13">SUM(D40:D43)</f>
        <v>57.95</v>
      </c>
      <c r="E44" s="16">
        <f t="shared" si="13"/>
        <v>590.85500000000002</v>
      </c>
      <c r="F44" s="16">
        <f t="shared" si="13"/>
        <v>0</v>
      </c>
      <c r="G44" s="16">
        <f t="shared" si="13"/>
        <v>0</v>
      </c>
      <c r="H44" s="16">
        <f t="shared" si="13"/>
        <v>50646.036</v>
      </c>
      <c r="I44" s="16">
        <f t="shared" si="13"/>
        <v>37.799999999999997</v>
      </c>
      <c r="J44" s="16">
        <f t="shared" si="13"/>
        <v>0</v>
      </c>
      <c r="K44" s="16">
        <f t="shared" si="13"/>
        <v>37.799999999999997</v>
      </c>
      <c r="L44" s="16">
        <f t="shared" si="13"/>
        <v>0</v>
      </c>
      <c r="M44" s="16">
        <f t="shared" si="13"/>
        <v>0</v>
      </c>
      <c r="N44" s="16">
        <f t="shared" si="13"/>
        <v>37.799999999999997</v>
      </c>
      <c r="O44" s="16">
        <f t="shared" si="13"/>
        <v>0</v>
      </c>
      <c r="P44" s="16">
        <f t="shared" si="13"/>
        <v>0</v>
      </c>
      <c r="Q44" s="16">
        <f t="shared" si="13"/>
        <v>0</v>
      </c>
      <c r="R44" s="16">
        <f t="shared" si="13"/>
        <v>0</v>
      </c>
      <c r="S44" s="16">
        <f t="shared" si="13"/>
        <v>0</v>
      </c>
      <c r="T44" s="16">
        <f t="shared" si="13"/>
        <v>0</v>
      </c>
      <c r="U44" s="47">
        <f t="shared" si="3"/>
        <v>50683.836000000003</v>
      </c>
      <c r="V44" s="90"/>
      <c r="W44" s="90"/>
    </row>
    <row r="45" spans="1:23" ht="42.75" customHeight="1">
      <c r="A45" s="8">
        <v>29</v>
      </c>
      <c r="B45" s="9" t="s">
        <v>51</v>
      </c>
      <c r="C45" s="10">
        <f>'aug 2022'!H45</f>
        <v>14080.624999999998</v>
      </c>
      <c r="D45" s="10">
        <v>0.62</v>
      </c>
      <c r="E45" s="10">
        <f>'aug 2022'!E45+'sep 2022'!D45</f>
        <v>127.19499999999999</v>
      </c>
      <c r="F45" s="10">
        <v>0</v>
      </c>
      <c r="G45" s="10">
        <f>'aug 2022'!G45+'aug 2022'!F45</f>
        <v>0</v>
      </c>
      <c r="H45" s="67">
        <f t="shared" si="0"/>
        <v>14081.244999999999</v>
      </c>
      <c r="I45" s="10">
        <f>'aug 2022'!N45</f>
        <v>6.6400000000000006</v>
      </c>
      <c r="J45" s="10">
        <v>0.01</v>
      </c>
      <c r="K45" s="10">
        <f>'aug 2022'!K45+'sep 2022'!J45</f>
        <v>0.02</v>
      </c>
      <c r="L45" s="10">
        <v>0</v>
      </c>
      <c r="M45" s="10">
        <f>'aug 2022'!M45+'sep 2022'!L45</f>
        <v>0</v>
      </c>
      <c r="N45" s="67">
        <f t="shared" si="1"/>
        <v>6.65</v>
      </c>
      <c r="O45" s="11">
        <f>'aug 2022'!T45</f>
        <v>97.920000000000016</v>
      </c>
      <c r="P45" s="10">
        <v>7.95</v>
      </c>
      <c r="Q45" s="10">
        <f>'aug 2022'!Q45+'sep 2022'!P45</f>
        <v>75.7</v>
      </c>
      <c r="R45" s="10">
        <v>0</v>
      </c>
      <c r="S45" s="10">
        <f>'aug 2022'!S45+'sep 2022'!R45</f>
        <v>0</v>
      </c>
      <c r="T45" s="68">
        <f t="shared" si="2"/>
        <v>105.87000000000002</v>
      </c>
      <c r="U45" s="11">
        <f t="shared" si="3"/>
        <v>14193.764999999999</v>
      </c>
      <c r="V45" s="115"/>
      <c r="W45" s="12"/>
    </row>
    <row r="46" spans="1:23" ht="42.75" customHeight="1">
      <c r="A46" s="8">
        <v>30</v>
      </c>
      <c r="B46" s="9" t="s">
        <v>52</v>
      </c>
      <c r="C46" s="10">
        <f>'aug 2022'!H46</f>
        <v>7301.5449999999992</v>
      </c>
      <c r="D46" s="10">
        <v>3.23</v>
      </c>
      <c r="E46" s="10">
        <f>'aug 2022'!E46+'sep 2022'!D46</f>
        <v>39.414999999999999</v>
      </c>
      <c r="F46" s="10">
        <v>0</v>
      </c>
      <c r="G46" s="10">
        <f>'aug 2022'!G46+'aug 2022'!F46</f>
        <v>0</v>
      </c>
      <c r="H46" s="67">
        <f t="shared" si="0"/>
        <v>7304.7749999999987</v>
      </c>
      <c r="I46" s="10">
        <f>'aug 2022'!N46</f>
        <v>0</v>
      </c>
      <c r="J46" s="10">
        <v>0</v>
      </c>
      <c r="K46" s="10">
        <f>'aug 2022'!K46+'sep 2022'!J46</f>
        <v>0</v>
      </c>
      <c r="L46" s="10">
        <v>0</v>
      </c>
      <c r="M46" s="10">
        <f>'aug 2022'!M46+'sep 2022'!L46</f>
        <v>0</v>
      </c>
      <c r="N46" s="67">
        <f t="shared" si="1"/>
        <v>0</v>
      </c>
      <c r="O46" s="11">
        <f>'aug 2022'!T46</f>
        <v>7.5900000000000007</v>
      </c>
      <c r="P46" s="10">
        <v>0</v>
      </c>
      <c r="Q46" s="10">
        <f>'aug 2022'!Q46+'sep 2022'!P46</f>
        <v>0</v>
      </c>
      <c r="R46" s="10">
        <v>0</v>
      </c>
      <c r="S46" s="10">
        <f>'aug 2022'!S46+'sep 2022'!R46</f>
        <v>0.31</v>
      </c>
      <c r="T46" s="68">
        <f t="shared" si="2"/>
        <v>7.5900000000000007</v>
      </c>
      <c r="U46" s="11">
        <f t="shared" si="3"/>
        <v>7312.3649999999989</v>
      </c>
      <c r="V46" s="115"/>
      <c r="W46" s="12"/>
    </row>
    <row r="47" spans="1:23" ht="42.75" customHeight="1">
      <c r="A47" s="8">
        <v>31</v>
      </c>
      <c r="B47" s="9" t="s">
        <v>53</v>
      </c>
      <c r="C47" s="10">
        <f>'aug 2022'!H47</f>
        <v>12303.320000000002</v>
      </c>
      <c r="D47" s="10">
        <v>0</v>
      </c>
      <c r="E47" s="10">
        <f>'aug 2022'!E47+'sep 2022'!D47</f>
        <v>10.06</v>
      </c>
      <c r="F47" s="10">
        <v>0</v>
      </c>
      <c r="G47" s="10">
        <f>'aug 2022'!G47+'aug 2022'!F47</f>
        <v>0</v>
      </c>
      <c r="H47" s="67">
        <f t="shared" si="0"/>
        <v>12303.320000000002</v>
      </c>
      <c r="I47" s="10">
        <f>'aug 2022'!N47</f>
        <v>1.2999999999999998</v>
      </c>
      <c r="J47" s="10">
        <v>0</v>
      </c>
      <c r="K47" s="10">
        <f>'aug 2022'!K47+'sep 2022'!J47</f>
        <v>0</v>
      </c>
      <c r="L47" s="10">
        <v>0</v>
      </c>
      <c r="M47" s="10">
        <f>'aug 2022'!M47+'sep 2022'!L47</f>
        <v>0</v>
      </c>
      <c r="N47" s="67">
        <f t="shared" si="1"/>
        <v>1.2999999999999998</v>
      </c>
      <c r="O47" s="11">
        <f>'aug 2022'!T47</f>
        <v>86.18</v>
      </c>
      <c r="P47" s="10">
        <v>0</v>
      </c>
      <c r="Q47" s="10">
        <f>'aug 2022'!Q47+'sep 2022'!P47</f>
        <v>0</v>
      </c>
      <c r="R47" s="10">
        <v>0</v>
      </c>
      <c r="S47" s="10">
        <f>'aug 2022'!S47+'sep 2022'!R47</f>
        <v>0.1</v>
      </c>
      <c r="T47" s="68">
        <f t="shared" si="2"/>
        <v>86.18</v>
      </c>
      <c r="U47" s="11">
        <f t="shared" si="3"/>
        <v>12390.800000000001</v>
      </c>
      <c r="V47" s="115"/>
      <c r="W47" s="12"/>
    </row>
    <row r="48" spans="1:23" ht="42.75" customHeight="1">
      <c r="A48" s="8">
        <v>32</v>
      </c>
      <c r="B48" s="9" t="s">
        <v>54</v>
      </c>
      <c r="C48" s="10">
        <f>'aug 2022'!H48</f>
        <v>11099.932000000008</v>
      </c>
      <c r="D48" s="10">
        <v>1.36</v>
      </c>
      <c r="E48" s="10">
        <f>'aug 2022'!E48+'sep 2022'!D48</f>
        <v>11.1</v>
      </c>
      <c r="F48" s="10">
        <v>0</v>
      </c>
      <c r="G48" s="10">
        <f>'aug 2022'!G48+'aug 2022'!F48</f>
        <v>0</v>
      </c>
      <c r="H48" s="67">
        <f t="shared" si="0"/>
        <v>11101.292000000009</v>
      </c>
      <c r="I48" s="10">
        <f>'aug 2022'!N48</f>
        <v>0</v>
      </c>
      <c r="J48" s="10">
        <v>0</v>
      </c>
      <c r="K48" s="10">
        <f>'aug 2022'!K48+'sep 2022'!J48</f>
        <v>0</v>
      </c>
      <c r="L48" s="10">
        <v>0</v>
      </c>
      <c r="M48" s="10">
        <f>'aug 2022'!M48+'sep 2022'!L48</f>
        <v>0</v>
      </c>
      <c r="N48" s="67">
        <f t="shared" si="1"/>
        <v>0</v>
      </c>
      <c r="O48" s="11">
        <f>'aug 2022'!T48</f>
        <v>30.53</v>
      </c>
      <c r="P48" s="10">
        <v>0</v>
      </c>
      <c r="Q48" s="10">
        <f>'aug 2022'!Q48+'sep 2022'!P48</f>
        <v>0.53</v>
      </c>
      <c r="R48" s="10">
        <v>0</v>
      </c>
      <c r="S48" s="10">
        <f>'aug 2022'!S48+'sep 2022'!R48</f>
        <v>0</v>
      </c>
      <c r="T48" s="68">
        <f t="shared" si="2"/>
        <v>30.53</v>
      </c>
      <c r="U48" s="11">
        <f t="shared" si="3"/>
        <v>11131.822000000009</v>
      </c>
      <c r="V48" s="115"/>
      <c r="W48" s="12"/>
    </row>
    <row r="49" spans="1:23" s="17" customFormat="1" ht="42.75" customHeight="1">
      <c r="A49" s="14"/>
      <c r="B49" s="15" t="s">
        <v>55</v>
      </c>
      <c r="C49" s="16">
        <f>SUM(C45:C48)</f>
        <v>44785.422000000006</v>
      </c>
      <c r="D49" s="16">
        <f t="shared" ref="D49:T49" si="14">SUM(D45:D48)</f>
        <v>5.21</v>
      </c>
      <c r="E49" s="16">
        <f t="shared" si="14"/>
        <v>187.76999999999998</v>
      </c>
      <c r="F49" s="16">
        <f t="shared" si="14"/>
        <v>0</v>
      </c>
      <c r="G49" s="16">
        <f t="shared" si="14"/>
        <v>0</v>
      </c>
      <c r="H49" s="16">
        <f t="shared" si="14"/>
        <v>44790.632000000005</v>
      </c>
      <c r="I49" s="16">
        <f t="shared" si="14"/>
        <v>7.94</v>
      </c>
      <c r="J49" s="16">
        <f t="shared" si="14"/>
        <v>0.01</v>
      </c>
      <c r="K49" s="16">
        <f t="shared" si="14"/>
        <v>0.02</v>
      </c>
      <c r="L49" s="16">
        <f t="shared" si="14"/>
        <v>0</v>
      </c>
      <c r="M49" s="16">
        <f t="shared" si="14"/>
        <v>0</v>
      </c>
      <c r="N49" s="16">
        <f t="shared" si="14"/>
        <v>7.95</v>
      </c>
      <c r="O49" s="16">
        <f t="shared" si="14"/>
        <v>222.22000000000003</v>
      </c>
      <c r="P49" s="16">
        <f t="shared" si="14"/>
        <v>7.95</v>
      </c>
      <c r="Q49" s="16">
        <f t="shared" si="14"/>
        <v>76.23</v>
      </c>
      <c r="R49" s="16">
        <f t="shared" si="14"/>
        <v>0</v>
      </c>
      <c r="S49" s="16">
        <f t="shared" si="14"/>
        <v>0.41000000000000003</v>
      </c>
      <c r="T49" s="16">
        <f t="shared" si="14"/>
        <v>230.17000000000004</v>
      </c>
      <c r="U49" s="47">
        <f t="shared" si="3"/>
        <v>45028.752</v>
      </c>
      <c r="V49" s="90"/>
      <c r="W49" s="90"/>
    </row>
    <row r="50" spans="1:23" s="17" customFormat="1" ht="42.75" customHeight="1">
      <c r="A50" s="14"/>
      <c r="B50" s="15" t="s">
        <v>56</v>
      </c>
      <c r="C50" s="16">
        <f>C49+C44</f>
        <v>95373.508000000002</v>
      </c>
      <c r="D50" s="16">
        <f t="shared" ref="D50:T50" si="15">D49+D44</f>
        <v>63.160000000000004</v>
      </c>
      <c r="E50" s="16">
        <f t="shared" si="15"/>
        <v>778.625</v>
      </c>
      <c r="F50" s="16">
        <f t="shared" si="15"/>
        <v>0</v>
      </c>
      <c r="G50" s="16">
        <f t="shared" si="15"/>
        <v>0</v>
      </c>
      <c r="H50" s="16">
        <f t="shared" si="15"/>
        <v>95436.668000000005</v>
      </c>
      <c r="I50" s="16">
        <f t="shared" si="15"/>
        <v>45.739999999999995</v>
      </c>
      <c r="J50" s="16">
        <f t="shared" si="15"/>
        <v>0.01</v>
      </c>
      <c r="K50" s="16">
        <f t="shared" si="15"/>
        <v>37.82</v>
      </c>
      <c r="L50" s="16">
        <f t="shared" si="15"/>
        <v>0</v>
      </c>
      <c r="M50" s="16">
        <f t="shared" si="15"/>
        <v>0</v>
      </c>
      <c r="N50" s="16">
        <f t="shared" si="15"/>
        <v>45.75</v>
      </c>
      <c r="O50" s="16">
        <f t="shared" si="15"/>
        <v>222.22000000000003</v>
      </c>
      <c r="P50" s="16">
        <f t="shared" si="15"/>
        <v>7.95</v>
      </c>
      <c r="Q50" s="16">
        <f t="shared" si="15"/>
        <v>76.23</v>
      </c>
      <c r="R50" s="16">
        <f t="shared" si="15"/>
        <v>0</v>
      </c>
      <c r="S50" s="16">
        <f t="shared" si="15"/>
        <v>0.41000000000000003</v>
      </c>
      <c r="T50" s="16">
        <f t="shared" si="15"/>
        <v>230.17000000000004</v>
      </c>
      <c r="U50" s="47">
        <f t="shared" si="3"/>
        <v>95712.588000000003</v>
      </c>
      <c r="V50" s="90"/>
      <c r="W50" s="90"/>
    </row>
    <row r="51" spans="1:23" s="17" customFormat="1" ht="42.75" customHeight="1">
      <c r="A51" s="14"/>
      <c r="B51" s="15" t="s">
        <v>57</v>
      </c>
      <c r="C51" s="16">
        <f>C50+C39+C25</f>
        <v>173106.94999999998</v>
      </c>
      <c r="D51" s="16">
        <f t="shared" ref="D51:T51" si="16">D50+D39+D25</f>
        <v>298.76</v>
      </c>
      <c r="E51" s="16">
        <f t="shared" si="16"/>
        <v>1471.0300000000002</v>
      </c>
      <c r="F51" s="16">
        <f t="shared" si="16"/>
        <v>493.75</v>
      </c>
      <c r="G51" s="16">
        <f t="shared" si="16"/>
        <v>416.87</v>
      </c>
      <c r="H51" s="16">
        <f t="shared" si="16"/>
        <v>172911.96</v>
      </c>
      <c r="I51" s="16">
        <f t="shared" si="16"/>
        <v>2429.9860000000003</v>
      </c>
      <c r="J51" s="16">
        <f t="shared" si="16"/>
        <v>142.816</v>
      </c>
      <c r="K51" s="16">
        <f t="shared" si="16"/>
        <v>527.46900000000005</v>
      </c>
      <c r="L51" s="16">
        <f t="shared" si="16"/>
        <v>0.7</v>
      </c>
      <c r="M51" s="16">
        <f t="shared" si="16"/>
        <v>2.4500000000000002</v>
      </c>
      <c r="N51" s="16">
        <f t="shared" si="16"/>
        <v>2572.1020000000003</v>
      </c>
      <c r="O51" s="16">
        <f t="shared" si="16"/>
        <v>6120.8539999999994</v>
      </c>
      <c r="P51" s="16">
        <f t="shared" si="16"/>
        <v>557.30000000000007</v>
      </c>
      <c r="Q51" s="16">
        <f t="shared" si="16"/>
        <v>1796.9799999999998</v>
      </c>
      <c r="R51" s="16">
        <f t="shared" si="16"/>
        <v>0</v>
      </c>
      <c r="S51" s="16">
        <f t="shared" si="16"/>
        <v>144.16999999999999</v>
      </c>
      <c r="T51" s="16">
        <f t="shared" si="16"/>
        <v>6678.1540000000005</v>
      </c>
      <c r="U51" s="47">
        <f t="shared" si="3"/>
        <v>182162.21600000001</v>
      </c>
      <c r="V51" s="90"/>
      <c r="W51" s="90"/>
    </row>
    <row r="52" spans="1:23" s="23" customFormat="1" ht="42.75" hidden="1" customHeight="1">
      <c r="A52" s="19"/>
      <c r="B52" s="20"/>
      <c r="C52" s="10">
        <f>'aug 2022'!H52</f>
        <v>0</v>
      </c>
      <c r="D52" s="21"/>
      <c r="E52" s="10">
        <f>'aug 2022'!E52+'sep 2022'!D52</f>
        <v>0</v>
      </c>
      <c r="F52" s="21"/>
      <c r="G52" s="10">
        <f>'aug 2022'!G52+'aug 2022'!F52</f>
        <v>0</v>
      </c>
      <c r="H52" s="10">
        <f t="shared" si="0"/>
        <v>0</v>
      </c>
      <c r="I52" s="10">
        <f>'aug 2022'!N52</f>
        <v>0</v>
      </c>
      <c r="J52" s="21"/>
      <c r="K52" s="10">
        <f>'aug 2022'!K52+'sep 2022'!J52</f>
        <v>0</v>
      </c>
      <c r="L52" s="21"/>
      <c r="M52" s="10">
        <f>'aug 2022'!M52+'sep 2022'!L52</f>
        <v>0</v>
      </c>
      <c r="N52" s="21"/>
      <c r="O52" s="21"/>
      <c r="P52" s="21"/>
      <c r="Q52" s="10">
        <f>'aug 2022'!Q52+'sep 2022'!P52</f>
        <v>0</v>
      </c>
      <c r="R52" s="21"/>
      <c r="S52" s="10">
        <f>'aug 2022'!S52+'sep 2022'!R52</f>
        <v>0</v>
      </c>
      <c r="T52" s="21"/>
      <c r="U52" s="21"/>
      <c r="V52" s="21"/>
      <c r="W52" s="21"/>
    </row>
    <row r="53" spans="1:23" s="23" customFormat="1" hidden="1">
      <c r="A53" s="19"/>
      <c r="B53" s="20"/>
      <c r="C53" s="10">
        <f>'aug 2022'!H53</f>
        <v>0</v>
      </c>
      <c r="D53" s="21"/>
      <c r="E53" s="10">
        <f>'aug 2022'!E53+'sep 2022'!D53</f>
        <v>0</v>
      </c>
      <c r="F53" s="21"/>
      <c r="G53" s="10">
        <f>'aug 2022'!G53+'aug 2022'!F53</f>
        <v>0</v>
      </c>
      <c r="H53" s="10">
        <f t="shared" si="0"/>
        <v>0</v>
      </c>
      <c r="I53" s="10">
        <f>'aug 2022'!N53</f>
        <v>0</v>
      </c>
      <c r="J53" s="21"/>
      <c r="K53" s="10">
        <f>'aug 2022'!K53+'sep 2022'!J53</f>
        <v>0</v>
      </c>
      <c r="L53" s="21"/>
      <c r="M53" s="10">
        <f>'aug 2022'!M53+'sep 2022'!L53</f>
        <v>0</v>
      </c>
      <c r="N53" s="21"/>
      <c r="O53" s="21"/>
      <c r="P53" s="24"/>
      <c r="Q53" s="10">
        <f>'aug 2022'!Q53+'sep 2022'!P53</f>
        <v>0</v>
      </c>
      <c r="R53" s="21"/>
      <c r="S53" s="10">
        <f>'aug 2022'!S53+'sep 2022'!R53</f>
        <v>0</v>
      </c>
      <c r="T53" s="25"/>
      <c r="U53" s="21"/>
      <c r="V53" s="21"/>
      <c r="W53" s="21"/>
    </row>
    <row r="54" spans="1:23" s="23" customFormat="1">
      <c r="A54" s="19"/>
      <c r="B54" s="20"/>
      <c r="C54" s="21"/>
      <c r="D54" s="21"/>
      <c r="E54" s="22"/>
      <c r="F54" s="21"/>
      <c r="G54" s="21"/>
      <c r="H54" s="21"/>
      <c r="I54" s="24"/>
      <c r="J54" s="21"/>
      <c r="K54" s="22"/>
      <c r="L54" s="21"/>
      <c r="M54" s="24"/>
      <c r="N54" s="21" t="s">
        <v>66</v>
      </c>
      <c r="O54" s="21"/>
      <c r="P54" s="24"/>
      <c r="Q54" s="22"/>
      <c r="R54" s="21"/>
      <c r="S54" s="24"/>
      <c r="T54" s="25"/>
      <c r="U54" s="21"/>
      <c r="V54" s="21"/>
      <c r="W54" s="21"/>
    </row>
    <row r="55" spans="1:23" s="23" customFormat="1">
      <c r="A55" s="19"/>
      <c r="B55" s="20"/>
      <c r="C55" s="21"/>
      <c r="D55" s="21"/>
      <c r="E55" s="22"/>
      <c r="F55" s="21"/>
      <c r="G55" s="21"/>
      <c r="H55" s="21"/>
      <c r="I55" s="24"/>
      <c r="J55" s="21"/>
      <c r="K55" s="22"/>
      <c r="L55" s="21"/>
      <c r="M55" s="24"/>
      <c r="N55" s="21"/>
      <c r="O55" s="21"/>
      <c r="P55" s="24"/>
      <c r="Q55" s="22"/>
      <c r="R55" s="21"/>
      <c r="S55" s="24"/>
      <c r="T55" s="25"/>
      <c r="U55" s="21"/>
      <c r="V55" s="21"/>
      <c r="W55" s="21"/>
    </row>
    <row r="56" spans="1:23" s="17" customFormat="1" ht="57" customHeight="1">
      <c r="A56" s="26"/>
      <c r="B56" s="27"/>
      <c r="C56" s="28"/>
      <c r="D56" s="112" t="s">
        <v>58</v>
      </c>
      <c r="E56" s="112"/>
      <c r="F56" s="112"/>
      <c r="G56" s="112"/>
      <c r="H56" s="87">
        <f>D51+J51+P51-F51-L51-R51</f>
        <v>504.4260000000001</v>
      </c>
      <c r="I56" s="87"/>
      <c r="J56" s="87"/>
      <c r="K56" s="87"/>
      <c r="L56" s="87"/>
      <c r="M56" s="87"/>
      <c r="N56" s="87"/>
      <c r="O56" s="29"/>
      <c r="P56" s="87"/>
      <c r="Q56" s="87"/>
      <c r="R56" s="87"/>
      <c r="S56" s="87"/>
      <c r="T56" s="87"/>
      <c r="U56" s="88"/>
      <c r="V56" s="88"/>
      <c r="W56" s="88"/>
    </row>
    <row r="57" spans="1:23" s="17" customFormat="1" ht="66" customHeight="1">
      <c r="A57" s="26"/>
      <c r="B57" s="27"/>
      <c r="C57" s="87"/>
      <c r="D57" s="112" t="s">
        <v>59</v>
      </c>
      <c r="E57" s="112"/>
      <c r="F57" s="112"/>
      <c r="G57" s="112"/>
      <c r="H57" s="87">
        <f>E51+K51+Q51-G51-M51-S51</f>
        <v>3231.9890000000005</v>
      </c>
      <c r="I57" s="87"/>
      <c r="J57" s="87"/>
      <c r="K57" s="87"/>
      <c r="L57" s="87"/>
      <c r="M57" s="87"/>
      <c r="N57" s="87"/>
      <c r="O57" s="29"/>
      <c r="P57" s="87"/>
      <c r="Q57" s="87"/>
      <c r="R57" s="87"/>
      <c r="S57" s="87"/>
      <c r="T57" s="87"/>
      <c r="U57" s="88"/>
      <c r="V57" s="88"/>
      <c r="W57" s="88"/>
    </row>
    <row r="58" spans="1:23" ht="54" customHeight="1">
      <c r="C58" s="28"/>
      <c r="D58" s="112" t="s">
        <v>60</v>
      </c>
      <c r="E58" s="112"/>
      <c r="F58" s="112"/>
      <c r="G58" s="112"/>
      <c r="H58" s="87">
        <f>H51+N51+T51</f>
        <v>182162.21600000001</v>
      </c>
      <c r="I58" s="31"/>
      <c r="J58" s="31"/>
      <c r="K58" s="31"/>
      <c r="L58" s="32"/>
      <c r="M58" s="32"/>
      <c r="N58" s="45" t="e">
        <f>#REF!+'sep 2022'!H56</f>
        <v>#REF!</v>
      </c>
      <c r="O58" s="12"/>
      <c r="P58" s="31"/>
      <c r="Q58" s="31"/>
      <c r="T58" s="41"/>
      <c r="U58" s="12"/>
      <c r="V58" s="12"/>
      <c r="W58" s="12"/>
    </row>
    <row r="59" spans="1:23" ht="42.75" customHeight="1">
      <c r="C59" s="88"/>
      <c r="D59" s="88"/>
      <c r="E59" s="1"/>
      <c r="H59" s="31"/>
      <c r="J59" s="33" t="e">
        <f>#REF!+'sep 2022'!H56</f>
        <v>#REF!</v>
      </c>
      <c r="K59" s="31"/>
      <c r="L59" s="33" t="e">
        <f>#REF!+'sep 2022'!H56</f>
        <v>#REF!</v>
      </c>
      <c r="M59" s="31"/>
      <c r="O59" s="12"/>
    </row>
    <row r="60" spans="1:23" s="17" customFormat="1" ht="78.75" customHeight="1">
      <c r="B60" s="114" t="s">
        <v>61</v>
      </c>
      <c r="C60" s="114"/>
      <c r="D60" s="114"/>
      <c r="E60" s="114"/>
      <c r="F60" s="114"/>
      <c r="H60" s="1"/>
      <c r="I60" s="34" t="e">
        <f>#REF!+'sep 2022'!H56</f>
        <v>#REF!</v>
      </c>
      <c r="J60" s="1"/>
      <c r="K60" s="31"/>
      <c r="L60" s="31"/>
      <c r="M60" s="33">
        <f>'March 2022'!H58+'sep 2022'!H56</f>
        <v>179845.00299999997</v>
      </c>
      <c r="Q60" s="114" t="s">
        <v>62</v>
      </c>
      <c r="R60" s="114"/>
      <c r="S60" s="114"/>
      <c r="T60" s="114"/>
      <c r="U60" s="114"/>
    </row>
    <row r="61" spans="1:23" s="17" customFormat="1" ht="45.75" customHeight="1">
      <c r="B61" s="114" t="s">
        <v>63</v>
      </c>
      <c r="C61" s="114"/>
      <c r="D61" s="114"/>
      <c r="E61" s="114"/>
      <c r="F61" s="114"/>
      <c r="G61" s="35"/>
      <c r="H61" s="36">
        <f>'[1]feb 2021'!H58+'sep 2022'!H56</f>
        <v>177342.06900000002</v>
      </c>
      <c r="I61" s="35"/>
      <c r="J61" s="28"/>
      <c r="K61" s="31"/>
      <c r="L61" s="31"/>
      <c r="M61" s="31"/>
      <c r="Q61" s="114" t="s">
        <v>63</v>
      </c>
      <c r="R61" s="114"/>
      <c r="S61" s="114"/>
      <c r="T61" s="114"/>
      <c r="U61" s="114"/>
    </row>
    <row r="62" spans="1:23" s="17" customFormat="1">
      <c r="B62" s="27"/>
      <c r="F62" s="37"/>
      <c r="I62" s="35"/>
      <c r="J62" s="37"/>
      <c r="Q62" s="88"/>
      <c r="R62" s="88"/>
      <c r="S62" s="2"/>
      <c r="T62" s="88"/>
      <c r="U62" s="88"/>
      <c r="V62" s="88"/>
      <c r="W62" s="88"/>
    </row>
    <row r="63" spans="1:23" s="17" customFormat="1" ht="61.5" customHeight="1">
      <c r="B63" s="27"/>
      <c r="G63" s="36">
        <f>'[1]May 2020'!H56+'sep 2022'!H56</f>
        <v>175235.38700000002</v>
      </c>
      <c r="J63" s="113" t="s">
        <v>64</v>
      </c>
      <c r="K63" s="113"/>
      <c r="L63" s="113"/>
      <c r="O63" s="88"/>
      <c r="S63" s="37"/>
      <c r="U63" s="88"/>
      <c r="V63" s="88"/>
      <c r="W63" s="88"/>
    </row>
    <row r="64" spans="1:23" s="17" customFormat="1" ht="58.5" customHeight="1">
      <c r="B64" s="27"/>
      <c r="H64" s="1"/>
      <c r="J64" s="113" t="s">
        <v>65</v>
      </c>
      <c r="K64" s="113"/>
      <c r="L64" s="113"/>
      <c r="O64" s="88"/>
      <c r="S64" s="37"/>
      <c r="U64" s="88"/>
      <c r="V64" s="88"/>
      <c r="W64" s="88"/>
    </row>
    <row r="66" spans="2:23">
      <c r="G66" s="31"/>
      <c r="H66" s="33" t="e">
        <f>#REF!+'sep 2022'!H56</f>
        <v>#REF!</v>
      </c>
    </row>
    <row r="67" spans="2:23">
      <c r="H67" s="31"/>
      <c r="J67" s="31"/>
    </row>
    <row r="69" spans="2:23">
      <c r="B69" s="3"/>
      <c r="G69" s="38"/>
      <c r="O69" s="3"/>
      <c r="U69" s="3"/>
      <c r="V69" s="3"/>
      <c r="W69" s="3"/>
    </row>
  </sheetData>
  <mergeCells count="31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V26:V27"/>
    <mergeCell ref="V45:V48"/>
    <mergeCell ref="H5:H6"/>
    <mergeCell ref="I5:I6"/>
    <mergeCell ref="J5:K5"/>
    <mergeCell ref="L5:M5"/>
    <mergeCell ref="N5:N6"/>
    <mergeCell ref="O5:O6"/>
    <mergeCell ref="Q60:U60"/>
    <mergeCell ref="B61:F61"/>
    <mergeCell ref="Q61:U61"/>
    <mergeCell ref="P5:Q5"/>
    <mergeCell ref="R5:S5"/>
    <mergeCell ref="T5:T6"/>
    <mergeCell ref="U5:U6"/>
    <mergeCell ref="J63:L63"/>
    <mergeCell ref="J64:L64"/>
    <mergeCell ref="D56:G56"/>
    <mergeCell ref="D57:G57"/>
    <mergeCell ref="D58:G58"/>
    <mergeCell ref="B60:F60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9" scale="20" fitToHeight="0" orientation="landscape" r:id="rId1"/>
  <rowBreaks count="1" manualBreakCount="1">
    <brk id="6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9"/>
  <sheetViews>
    <sheetView zoomScale="38" zoomScaleNormal="38" zoomScaleSheetLayoutView="25" workbookViewId="0">
      <pane ySplit="6" topLeftCell="A40" activePane="bottomLeft" state="frozen"/>
      <selection pane="bottomLeft" activeCell="A7" sqref="A7:XFD7"/>
    </sheetView>
  </sheetViews>
  <sheetFormatPr defaultRowHeight="33"/>
  <cols>
    <col min="1" max="1" width="16.7109375" style="3" customWidth="1"/>
    <col min="2" max="2" width="45.5703125" style="30" customWidth="1"/>
    <col min="3" max="3" width="36.5703125" style="3" customWidth="1"/>
    <col min="4" max="4" width="28.140625" style="3" customWidth="1"/>
    <col min="5" max="5" width="40.28515625" style="3" customWidth="1"/>
    <col min="6" max="6" width="32.42578125" style="3" customWidth="1"/>
    <col min="7" max="7" width="28.140625" style="3" customWidth="1"/>
    <col min="8" max="8" width="41.85546875" style="3" customWidth="1"/>
    <col min="9" max="9" width="29.5703125" style="3" customWidth="1"/>
    <col min="10" max="10" width="39.42578125" style="3" customWidth="1"/>
    <col min="11" max="11" width="28.140625" style="3" customWidth="1"/>
    <col min="12" max="12" width="36.7109375" style="3" customWidth="1"/>
    <col min="13" max="13" width="30.140625" style="3" customWidth="1"/>
    <col min="14" max="14" width="28.140625" style="3" customWidth="1"/>
    <col min="15" max="15" width="47.28515625" style="5" customWidth="1"/>
    <col min="16" max="16" width="32.7109375" style="3" customWidth="1"/>
    <col min="17" max="17" width="34.5703125" style="3" customWidth="1"/>
    <col min="18" max="18" width="36" style="3" customWidth="1"/>
    <col min="19" max="19" width="28.140625" style="6" customWidth="1"/>
    <col min="20" max="20" width="28.140625" style="3" customWidth="1"/>
    <col min="21" max="21" width="36.7109375" style="5" customWidth="1"/>
    <col min="22" max="22" width="41.42578125" style="5" customWidth="1"/>
    <col min="23" max="23" width="26" style="5" customWidth="1"/>
    <col min="24" max="16384" width="9.140625" style="3"/>
  </cols>
  <sheetData>
    <row r="1" spans="1:183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2"/>
      <c r="W1" s="2"/>
    </row>
    <row r="2" spans="1:183" ht="7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2"/>
      <c r="W2" s="2"/>
    </row>
    <row r="3" spans="1:183" ht="35.25" customHeight="1">
      <c r="A3" s="110" t="s">
        <v>81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2"/>
      <c r="W3" s="2"/>
    </row>
    <row r="4" spans="1:183" s="6" customFormat="1" ht="32.25" customHeight="1">
      <c r="A4" s="110" t="s">
        <v>1</v>
      </c>
      <c r="B4" s="110" t="s">
        <v>2</v>
      </c>
      <c r="C4" s="110" t="s">
        <v>3</v>
      </c>
      <c r="D4" s="110"/>
      <c r="E4" s="110"/>
      <c r="F4" s="110"/>
      <c r="G4" s="110"/>
      <c r="H4" s="110"/>
      <c r="I4" s="110" t="s">
        <v>4</v>
      </c>
      <c r="J4" s="111"/>
      <c r="K4" s="111"/>
      <c r="L4" s="111"/>
      <c r="M4" s="111"/>
      <c r="N4" s="111"/>
      <c r="O4" s="110" t="s">
        <v>5</v>
      </c>
      <c r="P4" s="111"/>
      <c r="Q4" s="111"/>
      <c r="R4" s="111"/>
      <c r="S4" s="111"/>
      <c r="T4" s="111"/>
      <c r="U4" s="4"/>
      <c r="V4" s="5"/>
      <c r="W4" s="5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</row>
    <row r="5" spans="1:183" s="6" customFormat="1" ht="41.25" customHeight="1">
      <c r="A5" s="110"/>
      <c r="B5" s="110"/>
      <c r="C5" s="110" t="s">
        <v>6</v>
      </c>
      <c r="D5" s="110" t="s">
        <v>7</v>
      </c>
      <c r="E5" s="110"/>
      <c r="F5" s="110" t="s">
        <v>8</v>
      </c>
      <c r="G5" s="110"/>
      <c r="H5" s="110" t="s">
        <v>9</v>
      </c>
      <c r="I5" s="110" t="s">
        <v>6</v>
      </c>
      <c r="J5" s="110" t="s">
        <v>7</v>
      </c>
      <c r="K5" s="110"/>
      <c r="L5" s="110" t="s">
        <v>8</v>
      </c>
      <c r="M5" s="110"/>
      <c r="N5" s="110" t="s">
        <v>9</v>
      </c>
      <c r="O5" s="110" t="s">
        <v>10</v>
      </c>
      <c r="P5" s="110" t="s">
        <v>7</v>
      </c>
      <c r="Q5" s="110"/>
      <c r="R5" s="110" t="s">
        <v>8</v>
      </c>
      <c r="S5" s="110"/>
      <c r="T5" s="110" t="s">
        <v>9</v>
      </c>
      <c r="U5" s="110" t="s">
        <v>11</v>
      </c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s="6" customFormat="1" ht="60" customHeight="1">
      <c r="A6" s="110"/>
      <c r="B6" s="110"/>
      <c r="C6" s="110"/>
      <c r="D6" s="91" t="s">
        <v>12</v>
      </c>
      <c r="E6" s="91" t="s">
        <v>13</v>
      </c>
      <c r="F6" s="91" t="s">
        <v>12</v>
      </c>
      <c r="G6" s="91" t="s">
        <v>13</v>
      </c>
      <c r="H6" s="110"/>
      <c r="I6" s="110"/>
      <c r="J6" s="7" t="s">
        <v>12</v>
      </c>
      <c r="K6" s="91" t="s">
        <v>13</v>
      </c>
      <c r="L6" s="91" t="s">
        <v>12</v>
      </c>
      <c r="M6" s="91" t="s">
        <v>13</v>
      </c>
      <c r="N6" s="110"/>
      <c r="O6" s="110"/>
      <c r="P6" s="91" t="s">
        <v>12</v>
      </c>
      <c r="Q6" s="91" t="s">
        <v>13</v>
      </c>
      <c r="R6" s="91" t="s">
        <v>12</v>
      </c>
      <c r="S6" s="91" t="s">
        <v>13</v>
      </c>
      <c r="T6" s="110"/>
      <c r="U6" s="110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</row>
    <row r="7" spans="1:183" ht="42.75" customHeight="1">
      <c r="A7" s="8">
        <v>1</v>
      </c>
      <c r="B7" s="9" t="s">
        <v>14</v>
      </c>
      <c r="C7" s="10">
        <f>'sep 2022'!H7</f>
        <v>102.47000000000065</v>
      </c>
      <c r="D7" s="10">
        <v>0</v>
      </c>
      <c r="E7" s="10">
        <f>'sep 2022'!E7+'Oct 2022'!D7</f>
        <v>47.73</v>
      </c>
      <c r="F7" s="10">
        <v>0</v>
      </c>
      <c r="G7" s="10">
        <f>'sep 2022'!G7+'Oct 2022'!F7</f>
        <v>66.8</v>
      </c>
      <c r="H7" s="67">
        <f>C7+D7-F7</f>
        <v>102.47000000000065</v>
      </c>
      <c r="I7" s="10">
        <f>'sep 2022'!N7</f>
        <v>168.67499999999995</v>
      </c>
      <c r="J7" s="10">
        <v>2.2549999999999999</v>
      </c>
      <c r="K7" s="10">
        <f>'sep 2022'!K7+'Oct 2022'!J7</f>
        <v>40.165000000000006</v>
      </c>
      <c r="L7" s="10">
        <v>0</v>
      </c>
      <c r="M7" s="10">
        <f>'sep 2022'!M7+'Oct 2022'!L7</f>
        <v>0.04</v>
      </c>
      <c r="N7" s="67">
        <f>I7+J7-L7</f>
        <v>170.92999999999995</v>
      </c>
      <c r="O7" s="11">
        <f>'sep 2022'!T7</f>
        <v>284.1400000000001</v>
      </c>
      <c r="P7" s="10">
        <v>0</v>
      </c>
      <c r="Q7" s="10">
        <f>'sep 2022'!Q7+'Oct 2022'!P7</f>
        <v>0.46</v>
      </c>
      <c r="R7" s="10">
        <v>0</v>
      </c>
      <c r="S7" s="10">
        <f>'sep 2022'!S7+'Oct 2022'!R7</f>
        <v>0</v>
      </c>
      <c r="T7" s="68">
        <f>O7+P7-R7</f>
        <v>284.1400000000001</v>
      </c>
      <c r="U7" s="11">
        <f>H7+N7+T7</f>
        <v>557.54000000000065</v>
      </c>
      <c r="V7" s="12"/>
      <c r="W7" s="12"/>
    </row>
    <row r="8" spans="1:183" ht="42.75" customHeight="1">
      <c r="A8" s="8">
        <v>2</v>
      </c>
      <c r="B8" s="9" t="s">
        <v>15</v>
      </c>
      <c r="C8" s="10">
        <f>'sep 2022'!H8</f>
        <v>497.6749999999999</v>
      </c>
      <c r="D8" s="10">
        <v>0.03</v>
      </c>
      <c r="E8" s="10">
        <f>'sep 2022'!E8+'Oct 2022'!D8</f>
        <v>0.42000000000000004</v>
      </c>
      <c r="F8" s="10">
        <v>0</v>
      </c>
      <c r="G8" s="10">
        <f>'sep 2022'!G8+'Oct 2022'!F8</f>
        <v>0.19</v>
      </c>
      <c r="H8" s="67">
        <f t="shared" ref="H8:H53" si="0">C8+D8-F8</f>
        <v>497.70499999999987</v>
      </c>
      <c r="I8" s="10">
        <f>'sep 2022'!N8</f>
        <v>128.22200000000001</v>
      </c>
      <c r="J8" s="10">
        <v>0.88</v>
      </c>
      <c r="K8" s="10">
        <f>'sep 2022'!K8+'Oct 2022'!J8</f>
        <v>9.072000000000001</v>
      </c>
      <c r="L8" s="10">
        <v>0</v>
      </c>
      <c r="M8" s="10">
        <f>'sep 2022'!M8+'Oct 2022'!L8</f>
        <v>0</v>
      </c>
      <c r="N8" s="67">
        <f t="shared" ref="N8:N48" si="1">I8+J8-L8</f>
        <v>129.102</v>
      </c>
      <c r="O8" s="11">
        <f>'sep 2022'!T8</f>
        <v>222.27000000000004</v>
      </c>
      <c r="P8" s="10">
        <v>0</v>
      </c>
      <c r="Q8" s="10">
        <f>'sep 2022'!Q8+'Oct 2022'!P8</f>
        <v>34.629999999999995</v>
      </c>
      <c r="R8" s="10">
        <v>0</v>
      </c>
      <c r="S8" s="10">
        <f>'sep 2022'!S8+'Oct 2022'!R8</f>
        <v>0</v>
      </c>
      <c r="T8" s="68">
        <f t="shared" ref="T8:T48" si="2">O8+P8-R8</f>
        <v>222.27000000000004</v>
      </c>
      <c r="U8" s="11">
        <f t="shared" ref="U8:U48" si="3">H8+N8+T8</f>
        <v>849.077</v>
      </c>
      <c r="V8" s="12"/>
      <c r="W8" s="12"/>
    </row>
    <row r="9" spans="1:183" ht="42.75" customHeight="1">
      <c r="A9" s="8">
        <v>3</v>
      </c>
      <c r="B9" s="9" t="s">
        <v>16</v>
      </c>
      <c r="C9" s="10">
        <f>'sep 2022'!H9</f>
        <v>653.9599999999997</v>
      </c>
      <c r="D9" s="10">
        <v>0</v>
      </c>
      <c r="E9" s="10">
        <f>'sep 2022'!E9+'Oct 2022'!D9</f>
        <v>0</v>
      </c>
      <c r="F9" s="10">
        <v>0</v>
      </c>
      <c r="G9" s="10">
        <f>'sep 2022'!G9+'Oct 2022'!F9</f>
        <v>90</v>
      </c>
      <c r="H9" s="67">
        <f t="shared" si="0"/>
        <v>653.9599999999997</v>
      </c>
      <c r="I9" s="10">
        <f>'sep 2022'!N9</f>
        <v>203.78900000000004</v>
      </c>
      <c r="J9" s="10">
        <v>1.373</v>
      </c>
      <c r="K9" s="10">
        <f>'sep 2022'!K9+'Oct 2022'!J9</f>
        <v>7.8289999999999997</v>
      </c>
      <c r="L9" s="10">
        <v>0</v>
      </c>
      <c r="M9" s="10">
        <f>'sep 2022'!M9+'Oct 2022'!L9</f>
        <v>0</v>
      </c>
      <c r="N9" s="67">
        <f t="shared" si="1"/>
        <v>205.16200000000003</v>
      </c>
      <c r="O9" s="98">
        <f>'sep 2022'!T9+290.85+16.44</f>
        <v>464.93</v>
      </c>
      <c r="P9" s="67">
        <v>108.95</v>
      </c>
      <c r="Q9" s="10">
        <f>'sep 2022'!Q9+'Oct 2022'!P9</f>
        <v>125.15</v>
      </c>
      <c r="R9" s="10">
        <v>0</v>
      </c>
      <c r="S9" s="10">
        <f>'sep 2022'!S9+'Oct 2022'!R9</f>
        <v>0</v>
      </c>
      <c r="T9" s="11">
        <f t="shared" si="2"/>
        <v>573.88</v>
      </c>
      <c r="U9" s="11">
        <f t="shared" si="3"/>
        <v>1433.0019999999997</v>
      </c>
      <c r="V9" s="12">
        <v>346.41</v>
      </c>
      <c r="W9" s="12"/>
    </row>
    <row r="10" spans="1:183" ht="42.75" customHeight="1">
      <c r="A10" s="8">
        <v>4</v>
      </c>
      <c r="B10" s="13" t="s">
        <v>17</v>
      </c>
      <c r="C10" s="10">
        <f>'sep 2022'!H10</f>
        <v>0</v>
      </c>
      <c r="D10" s="10">
        <v>0</v>
      </c>
      <c r="E10" s="10">
        <f>'sep 2022'!E10+'Oct 2022'!D10</f>
        <v>0</v>
      </c>
      <c r="F10" s="10">
        <v>0</v>
      </c>
      <c r="G10" s="10">
        <f>'sep 2022'!G10+'Oct 2022'!F10</f>
        <v>0</v>
      </c>
      <c r="H10" s="67">
        <f t="shared" si="0"/>
        <v>0</v>
      </c>
      <c r="I10" s="10">
        <f>'sep 2022'!N10</f>
        <v>143.45500000000007</v>
      </c>
      <c r="J10" s="10">
        <v>0.15</v>
      </c>
      <c r="K10" s="10">
        <f>'sep 2022'!K10+'Oct 2022'!J10</f>
        <v>1.571</v>
      </c>
      <c r="L10" s="10">
        <v>0</v>
      </c>
      <c r="M10" s="10">
        <f>'sep 2022'!M10+'Oct 2022'!L10</f>
        <v>0</v>
      </c>
      <c r="N10" s="67">
        <f t="shared" si="1"/>
        <v>143.60500000000008</v>
      </c>
      <c r="O10" s="11">
        <f>'sep 2022'!T10</f>
        <v>234.24999999999997</v>
      </c>
      <c r="P10" s="10">
        <v>0</v>
      </c>
      <c r="Q10" s="10">
        <f>'sep 2022'!Q10+'Oct 2022'!P10</f>
        <v>1.08</v>
      </c>
      <c r="R10" s="10">
        <v>0</v>
      </c>
      <c r="S10" s="10">
        <f>'sep 2022'!S10+'Oct 2022'!R10</f>
        <v>0</v>
      </c>
      <c r="T10" s="68">
        <f t="shared" si="2"/>
        <v>234.24999999999997</v>
      </c>
      <c r="U10" s="11">
        <f t="shared" si="3"/>
        <v>377.85500000000002</v>
      </c>
      <c r="V10" s="12"/>
      <c r="W10" s="12"/>
    </row>
    <row r="11" spans="1:183" s="17" customFormat="1" ht="42.75" customHeight="1">
      <c r="A11" s="14"/>
      <c r="B11" s="97" t="s">
        <v>18</v>
      </c>
      <c r="C11" s="16">
        <f>SUM(C7:C10)</f>
        <v>1254.1050000000002</v>
      </c>
      <c r="D11" s="16">
        <f t="shared" ref="D11:U11" si="4">SUM(D7:D10)</f>
        <v>0.03</v>
      </c>
      <c r="E11" s="16">
        <f t="shared" si="4"/>
        <v>48.15</v>
      </c>
      <c r="F11" s="16">
        <f t="shared" si="4"/>
        <v>0</v>
      </c>
      <c r="G11" s="16">
        <f t="shared" si="4"/>
        <v>156.99</v>
      </c>
      <c r="H11" s="95">
        <f t="shared" si="4"/>
        <v>1254.1350000000002</v>
      </c>
      <c r="I11" s="16">
        <f t="shared" si="4"/>
        <v>644.14100000000008</v>
      </c>
      <c r="J11" s="16">
        <f t="shared" si="4"/>
        <v>4.6580000000000004</v>
      </c>
      <c r="K11" s="16">
        <f t="shared" si="4"/>
        <v>58.637000000000008</v>
      </c>
      <c r="L11" s="16">
        <f t="shared" si="4"/>
        <v>0</v>
      </c>
      <c r="M11" s="16">
        <f t="shared" si="4"/>
        <v>0.04</v>
      </c>
      <c r="N11" s="16">
        <f t="shared" si="4"/>
        <v>648.79899999999998</v>
      </c>
      <c r="O11" s="16">
        <f t="shared" si="4"/>
        <v>1205.5900000000001</v>
      </c>
      <c r="P11" s="16">
        <f t="shared" si="4"/>
        <v>108.95</v>
      </c>
      <c r="Q11" s="16">
        <f t="shared" si="4"/>
        <v>161.32000000000002</v>
      </c>
      <c r="R11" s="16">
        <f t="shared" si="4"/>
        <v>0</v>
      </c>
      <c r="S11" s="16">
        <f t="shared" si="4"/>
        <v>0</v>
      </c>
      <c r="T11" s="16">
        <f t="shared" si="4"/>
        <v>1314.5400000000002</v>
      </c>
      <c r="U11" s="16">
        <f t="shared" si="4"/>
        <v>3217.4740000000006</v>
      </c>
      <c r="V11" s="92"/>
      <c r="W11" s="92"/>
    </row>
    <row r="12" spans="1:183" ht="42.75" customHeight="1">
      <c r="A12" s="8">
        <v>5</v>
      </c>
      <c r="B12" s="9" t="s">
        <v>19</v>
      </c>
      <c r="C12" s="10">
        <f>'sep 2022'!H12</f>
        <v>1653.4899999999991</v>
      </c>
      <c r="D12" s="10">
        <v>0</v>
      </c>
      <c r="E12" s="10">
        <f>'sep 2022'!E12+'Oct 2022'!D12</f>
        <v>0</v>
      </c>
      <c r="F12" s="96">
        <v>290.85000000000002</v>
      </c>
      <c r="G12" s="10">
        <f>'sep 2022'!G12+'Oct 2022'!F12</f>
        <v>290.85000000000002</v>
      </c>
      <c r="H12" s="67">
        <f t="shared" si="0"/>
        <v>1362.639999999999</v>
      </c>
      <c r="I12" s="10">
        <f>'sep 2022'!N12</f>
        <v>122.68300000000001</v>
      </c>
      <c r="J12" s="10">
        <v>2.4700000000000002</v>
      </c>
      <c r="K12" s="10">
        <f>'sep 2022'!K12+'Oct 2022'!J12</f>
        <v>3.92</v>
      </c>
      <c r="L12" s="10">
        <v>0</v>
      </c>
      <c r="M12" s="10">
        <f>'sep 2022'!M12+'Oct 2022'!L12</f>
        <v>0.4</v>
      </c>
      <c r="N12" s="67">
        <f t="shared" si="1"/>
        <v>125.15300000000001</v>
      </c>
      <c r="O12" s="11">
        <f>'sep 2022'!T12</f>
        <v>641.9</v>
      </c>
      <c r="P12" s="10">
        <v>145.88</v>
      </c>
      <c r="Q12" s="10">
        <f>'sep 2022'!Q12+'Oct 2022'!P12</f>
        <v>208.87</v>
      </c>
      <c r="R12" s="10">
        <v>0</v>
      </c>
      <c r="S12" s="10">
        <f>'sep 2022'!S12+'Oct 2022'!R12</f>
        <v>0</v>
      </c>
      <c r="T12" s="68">
        <f t="shared" si="2"/>
        <v>787.78</v>
      </c>
      <c r="U12" s="11">
        <f t="shared" si="3"/>
        <v>2275.572999999999</v>
      </c>
      <c r="V12" s="12"/>
      <c r="W12" s="12"/>
    </row>
    <row r="13" spans="1:183" ht="42.75" customHeight="1">
      <c r="A13" s="8">
        <v>6</v>
      </c>
      <c r="B13" s="9" t="s">
        <v>20</v>
      </c>
      <c r="C13" s="10">
        <f>'sep 2022'!H13</f>
        <v>1023.7699999999998</v>
      </c>
      <c r="D13" s="10">
        <v>0</v>
      </c>
      <c r="E13" s="10">
        <f>'sep 2022'!E13+'Oct 2022'!D13</f>
        <v>0</v>
      </c>
      <c r="F13" s="10">
        <v>0</v>
      </c>
      <c r="G13" s="10">
        <f>'sep 2022'!G13+'Oct 2022'!F13</f>
        <v>0</v>
      </c>
      <c r="H13" s="67">
        <f t="shared" si="0"/>
        <v>1023.7699999999998</v>
      </c>
      <c r="I13" s="10">
        <f>'sep 2022'!N13</f>
        <v>151.5040000000001</v>
      </c>
      <c r="J13" s="10">
        <v>1.18</v>
      </c>
      <c r="K13" s="10">
        <f>'sep 2022'!K13+'Oct 2022'!J13</f>
        <v>5.09</v>
      </c>
      <c r="L13" s="10">
        <v>0</v>
      </c>
      <c r="M13" s="10">
        <f>'sep 2022'!M13+'Oct 2022'!L13</f>
        <v>0.72</v>
      </c>
      <c r="N13" s="67">
        <f t="shared" si="1"/>
        <v>152.68400000000011</v>
      </c>
      <c r="O13" s="11">
        <f>'sep 2022'!T13</f>
        <v>87.2</v>
      </c>
      <c r="P13" s="10">
        <v>0</v>
      </c>
      <c r="Q13" s="10">
        <f>'sep 2022'!Q13+'Oct 2022'!P13</f>
        <v>0.67</v>
      </c>
      <c r="R13" s="10">
        <v>0</v>
      </c>
      <c r="S13" s="10">
        <f>'sep 2022'!S13+'Oct 2022'!R13</f>
        <v>0</v>
      </c>
      <c r="T13" s="68">
        <f t="shared" si="2"/>
        <v>87.2</v>
      </c>
      <c r="U13" s="11">
        <f t="shared" si="3"/>
        <v>1263.654</v>
      </c>
      <c r="V13" s="12"/>
      <c r="W13" s="12"/>
    </row>
    <row r="14" spans="1:183" ht="42.75" customHeight="1">
      <c r="A14" s="8">
        <v>7</v>
      </c>
      <c r="B14" s="9" t="s">
        <v>21</v>
      </c>
      <c r="C14" s="10">
        <f>'sep 2022'!H14</f>
        <v>2084.5799999999995</v>
      </c>
      <c r="D14" s="10">
        <v>0</v>
      </c>
      <c r="E14" s="10">
        <v>0.08</v>
      </c>
      <c r="F14" s="10">
        <v>0</v>
      </c>
      <c r="G14" s="10">
        <f>'sep 2022'!G14+'Oct 2022'!F14</f>
        <v>0</v>
      </c>
      <c r="H14" s="67">
        <f t="shared" si="0"/>
        <v>2084.5799999999995</v>
      </c>
      <c r="I14" s="10">
        <f>'sep 2022'!N14</f>
        <v>199.68399999999997</v>
      </c>
      <c r="J14" s="10">
        <v>2.6</v>
      </c>
      <c r="K14" s="10">
        <f>'sep 2022'!K14+'Oct 2022'!J14</f>
        <v>8.43</v>
      </c>
      <c r="L14" s="10">
        <v>0</v>
      </c>
      <c r="M14" s="10">
        <f>'sep 2022'!M14+'Oct 2022'!L14</f>
        <v>0</v>
      </c>
      <c r="N14" s="67">
        <f t="shared" si="1"/>
        <v>202.28399999999996</v>
      </c>
      <c r="O14" s="11">
        <f>'sep 2022'!T14</f>
        <v>403.19999999999993</v>
      </c>
      <c r="P14" s="10">
        <v>0</v>
      </c>
      <c r="Q14" s="10">
        <f>'sep 2022'!Q14+'Oct 2022'!P14</f>
        <v>51.04</v>
      </c>
      <c r="R14" s="10">
        <v>0</v>
      </c>
      <c r="S14" s="10">
        <f>'sep 2022'!S14+'Oct 2022'!R14</f>
        <v>0</v>
      </c>
      <c r="T14" s="68">
        <f t="shared" si="2"/>
        <v>403.19999999999993</v>
      </c>
      <c r="U14" s="11">
        <f t="shared" si="3"/>
        <v>2690.0639999999994</v>
      </c>
      <c r="V14" s="12"/>
      <c r="W14" s="12"/>
    </row>
    <row r="15" spans="1:183" s="17" customFormat="1" ht="42.75" customHeight="1">
      <c r="A15" s="14" t="s">
        <v>22</v>
      </c>
      <c r="B15" s="97" t="s">
        <v>23</v>
      </c>
      <c r="C15" s="16">
        <f>SUM(C12:C14)</f>
        <v>4761.8399999999983</v>
      </c>
      <c r="D15" s="16">
        <f t="shared" ref="D15:U15" si="5">SUM(D12:D14)</f>
        <v>0</v>
      </c>
      <c r="E15" s="16">
        <f t="shared" si="5"/>
        <v>0.08</v>
      </c>
      <c r="F15" s="16">
        <f t="shared" si="5"/>
        <v>290.85000000000002</v>
      </c>
      <c r="G15" s="16">
        <f t="shared" si="5"/>
        <v>290.85000000000002</v>
      </c>
      <c r="H15" s="95">
        <f t="shared" si="5"/>
        <v>4470.989999999998</v>
      </c>
      <c r="I15" s="16">
        <f t="shared" si="5"/>
        <v>473.87100000000009</v>
      </c>
      <c r="J15" s="16">
        <f t="shared" si="5"/>
        <v>6.25</v>
      </c>
      <c r="K15" s="16">
        <f t="shared" si="5"/>
        <v>17.439999999999998</v>
      </c>
      <c r="L15" s="16">
        <f t="shared" si="5"/>
        <v>0</v>
      </c>
      <c r="M15" s="16">
        <f t="shared" si="5"/>
        <v>1.1200000000000001</v>
      </c>
      <c r="N15" s="95">
        <f t="shared" si="5"/>
        <v>480.12100000000009</v>
      </c>
      <c r="O15" s="16">
        <f t="shared" si="5"/>
        <v>1132.3</v>
      </c>
      <c r="P15" s="16">
        <f t="shared" si="5"/>
        <v>145.88</v>
      </c>
      <c r="Q15" s="16">
        <f t="shared" si="5"/>
        <v>260.58</v>
      </c>
      <c r="R15" s="16">
        <f t="shared" si="5"/>
        <v>0</v>
      </c>
      <c r="S15" s="16">
        <f t="shared" si="5"/>
        <v>0</v>
      </c>
      <c r="T15" s="95">
        <f t="shared" si="5"/>
        <v>1278.1799999999998</v>
      </c>
      <c r="U15" s="16">
        <f t="shared" si="5"/>
        <v>6229.2909999999983</v>
      </c>
      <c r="V15" s="92"/>
      <c r="W15" s="92"/>
    </row>
    <row r="16" spans="1:183" ht="42.75" customHeight="1">
      <c r="A16" s="8">
        <v>8</v>
      </c>
      <c r="B16" s="9" t="s">
        <v>24</v>
      </c>
      <c r="C16" s="10">
        <f>'sep 2022'!H16</f>
        <v>1318.9319999999991</v>
      </c>
      <c r="D16" s="10">
        <v>1.32</v>
      </c>
      <c r="E16" s="10">
        <f>'sep 2022'!E16+'Oct 2022'!D16</f>
        <v>16.579999999999998</v>
      </c>
      <c r="F16" s="96">
        <v>16.440000000000001</v>
      </c>
      <c r="G16" s="10">
        <f>'sep 2022'!G16+'Oct 2022'!F16</f>
        <v>17.940000000000001</v>
      </c>
      <c r="H16" s="67">
        <f t="shared" si="0"/>
        <v>1303.811999999999</v>
      </c>
      <c r="I16" s="10">
        <f>'sep 2022'!N16</f>
        <v>112.18000000000002</v>
      </c>
      <c r="J16" s="10">
        <v>0.18</v>
      </c>
      <c r="K16" s="10">
        <f>'sep 2022'!K16+'Oct 2022'!J16</f>
        <v>1.34</v>
      </c>
      <c r="L16" s="10">
        <v>0</v>
      </c>
      <c r="M16" s="10">
        <f>'sep 2022'!M16+'Oct 2022'!L16</f>
        <v>0</v>
      </c>
      <c r="N16" s="67">
        <f t="shared" si="1"/>
        <v>112.36000000000003</v>
      </c>
      <c r="O16" s="11">
        <f>'sep 2022'!T16</f>
        <v>422.86900000000003</v>
      </c>
      <c r="P16" s="67">
        <f>1.6+88.18</f>
        <v>89.78</v>
      </c>
      <c r="Q16" s="10">
        <f>'sep 2022'!Q16+'Oct 2022'!P16</f>
        <v>401.25</v>
      </c>
      <c r="R16" s="10">
        <v>0</v>
      </c>
      <c r="S16" s="10">
        <f>'sep 2022'!S16+'Oct 2022'!R16</f>
        <v>0</v>
      </c>
      <c r="T16" s="11">
        <f t="shared" si="2"/>
        <v>512.649</v>
      </c>
      <c r="U16" s="11">
        <f t="shared" si="3"/>
        <v>1928.820999999999</v>
      </c>
      <c r="V16" s="12"/>
      <c r="W16" s="12"/>
    </row>
    <row r="17" spans="1:23" ht="57.75" customHeight="1">
      <c r="A17" s="8">
        <v>9</v>
      </c>
      <c r="B17" s="9" t="s">
        <v>25</v>
      </c>
      <c r="C17" s="10">
        <f>'sep 2022'!H17</f>
        <v>239.35399999999987</v>
      </c>
      <c r="D17" s="10">
        <v>0</v>
      </c>
      <c r="E17" s="10">
        <f>'sep 2022'!E17+'Oct 2022'!D17</f>
        <v>39.92</v>
      </c>
      <c r="F17" s="10">
        <v>0</v>
      </c>
      <c r="G17" s="10">
        <f>'sep 2022'!G17+'Oct 2022'!F17</f>
        <v>0</v>
      </c>
      <c r="H17" s="67">
        <f t="shared" si="0"/>
        <v>239.35399999999987</v>
      </c>
      <c r="I17" s="10">
        <f>'sep 2022'!N17</f>
        <v>28.206999999999994</v>
      </c>
      <c r="J17" s="10">
        <v>0.2</v>
      </c>
      <c r="K17" s="10">
        <f>'sep 2022'!K17+'Oct 2022'!J17</f>
        <v>7.3199999999999994</v>
      </c>
      <c r="L17" s="10">
        <v>0</v>
      </c>
      <c r="M17" s="10">
        <f>'sep 2022'!M17+'Oct 2022'!L17</f>
        <v>0.99</v>
      </c>
      <c r="N17" s="67">
        <f t="shared" si="1"/>
        <v>28.406999999999993</v>
      </c>
      <c r="O17" s="11">
        <f>'sep 2022'!T17</f>
        <v>491.52100000000007</v>
      </c>
      <c r="P17" s="10">
        <v>0</v>
      </c>
      <c r="Q17" s="10">
        <f>'sep 2022'!Q17+'Oct 2022'!P17</f>
        <v>70.81</v>
      </c>
      <c r="R17" s="10">
        <v>0</v>
      </c>
      <c r="S17" s="10">
        <f>'sep 2022'!S17+'Oct 2022'!R17</f>
        <v>70.959999999999994</v>
      </c>
      <c r="T17" s="68">
        <f t="shared" si="2"/>
        <v>491.52100000000007</v>
      </c>
      <c r="U17" s="11">
        <f t="shared" si="3"/>
        <v>759.28199999999993</v>
      </c>
      <c r="V17" s="12"/>
      <c r="W17" s="12"/>
    </row>
    <row r="18" spans="1:23" ht="42.75" customHeight="1">
      <c r="A18" s="8">
        <v>10</v>
      </c>
      <c r="B18" s="9" t="s">
        <v>26</v>
      </c>
      <c r="C18" s="10">
        <f>'sep 2022'!H18</f>
        <v>669.86499999999933</v>
      </c>
      <c r="D18" s="10">
        <v>0</v>
      </c>
      <c r="E18" s="10">
        <f>'sep 2022'!E18+'Oct 2022'!D18</f>
        <v>0</v>
      </c>
      <c r="F18" s="10">
        <v>0</v>
      </c>
      <c r="G18" s="10">
        <f>'sep 2022'!G18+'Oct 2022'!F18</f>
        <v>0</v>
      </c>
      <c r="H18" s="67">
        <f t="shared" si="0"/>
        <v>669.86499999999933</v>
      </c>
      <c r="I18" s="10">
        <f>'sep 2022'!N18</f>
        <v>16.899999999999988</v>
      </c>
      <c r="J18" s="10">
        <v>0</v>
      </c>
      <c r="K18" s="10">
        <f>'sep 2022'!K18+'Oct 2022'!J18</f>
        <v>0.83</v>
      </c>
      <c r="L18" s="10">
        <v>0</v>
      </c>
      <c r="M18" s="10">
        <f>'sep 2022'!M18+'Oct 2022'!L18</f>
        <v>0.3</v>
      </c>
      <c r="N18" s="67">
        <f>I18+J18-L18</f>
        <v>16.899999999999988</v>
      </c>
      <c r="O18" s="11">
        <f>'sep 2022'!T18</f>
        <v>239.708</v>
      </c>
      <c r="P18" s="10">
        <v>0</v>
      </c>
      <c r="Q18" s="10">
        <f>'sep 2022'!Q18+'Oct 2022'!P18</f>
        <v>44.81</v>
      </c>
      <c r="R18" s="10">
        <v>0</v>
      </c>
      <c r="S18" s="10">
        <f>'sep 2022'!S18+'Oct 2022'!R18</f>
        <v>0</v>
      </c>
      <c r="T18" s="68">
        <f t="shared" si="2"/>
        <v>239.708</v>
      </c>
      <c r="U18" s="11">
        <f t="shared" si="3"/>
        <v>926.47299999999927</v>
      </c>
      <c r="V18" s="12"/>
      <c r="W18" s="12"/>
    </row>
    <row r="19" spans="1:23" s="17" customFormat="1" ht="42.75" customHeight="1">
      <c r="A19" s="14"/>
      <c r="B19" s="97" t="s">
        <v>27</v>
      </c>
      <c r="C19" s="16">
        <f>SUM(C16:C18)</f>
        <v>2228.150999999998</v>
      </c>
      <c r="D19" s="16">
        <f t="shared" ref="D19:U19" si="6">SUM(D16:D18)</f>
        <v>1.32</v>
      </c>
      <c r="E19" s="16">
        <f t="shared" si="6"/>
        <v>56.5</v>
      </c>
      <c r="F19" s="16">
        <f t="shared" si="6"/>
        <v>16.440000000000001</v>
      </c>
      <c r="G19" s="16">
        <f t="shared" si="6"/>
        <v>17.940000000000001</v>
      </c>
      <c r="H19" s="95">
        <f t="shared" si="6"/>
        <v>2213.0309999999981</v>
      </c>
      <c r="I19" s="16">
        <f t="shared" si="6"/>
        <v>157.28699999999998</v>
      </c>
      <c r="J19" s="16">
        <f t="shared" si="6"/>
        <v>0.38</v>
      </c>
      <c r="K19" s="16">
        <f t="shared" si="6"/>
        <v>9.49</v>
      </c>
      <c r="L19" s="16">
        <f t="shared" si="6"/>
        <v>0</v>
      </c>
      <c r="M19" s="16">
        <f t="shared" si="6"/>
        <v>1.29</v>
      </c>
      <c r="N19" s="16">
        <f t="shared" si="6"/>
        <v>157.667</v>
      </c>
      <c r="O19" s="16">
        <f t="shared" si="6"/>
        <v>1154.0980000000002</v>
      </c>
      <c r="P19" s="16">
        <f t="shared" si="6"/>
        <v>89.78</v>
      </c>
      <c r="Q19" s="16">
        <f t="shared" si="6"/>
        <v>516.87</v>
      </c>
      <c r="R19" s="16">
        <f t="shared" si="6"/>
        <v>0</v>
      </c>
      <c r="S19" s="16">
        <f t="shared" si="6"/>
        <v>70.959999999999994</v>
      </c>
      <c r="T19" s="16">
        <f t="shared" si="6"/>
        <v>1243.8780000000002</v>
      </c>
      <c r="U19" s="16">
        <f t="shared" si="6"/>
        <v>3614.5759999999982</v>
      </c>
      <c r="V19" s="92"/>
      <c r="W19" s="92"/>
    </row>
    <row r="20" spans="1:23" ht="42.75" customHeight="1">
      <c r="A20" s="8">
        <v>11</v>
      </c>
      <c r="B20" s="9" t="s">
        <v>28</v>
      </c>
      <c r="C20" s="10">
        <f>'sep 2022'!H20</f>
        <v>1024.4249999999993</v>
      </c>
      <c r="D20" s="10">
        <v>0</v>
      </c>
      <c r="E20" s="10">
        <f>'sep 2022'!E20+'Oct 2022'!D20</f>
        <v>0.88</v>
      </c>
      <c r="F20" s="10">
        <v>0</v>
      </c>
      <c r="G20" s="10">
        <f>'sep 2022'!G20+'Oct 2022'!F20</f>
        <v>180</v>
      </c>
      <c r="H20" s="67">
        <f t="shared" si="0"/>
        <v>1024.4249999999993</v>
      </c>
      <c r="I20" s="10">
        <f>'sep 2022'!N20</f>
        <v>154.37100000000007</v>
      </c>
      <c r="J20" s="10">
        <v>0.21</v>
      </c>
      <c r="K20" s="10">
        <f>'sep 2022'!K20+'Oct 2022'!J20</f>
        <v>2.2800000000000002</v>
      </c>
      <c r="L20" s="10">
        <v>0</v>
      </c>
      <c r="M20" s="10">
        <f>'sep 2022'!M20+'Oct 2022'!L20</f>
        <v>0</v>
      </c>
      <c r="N20" s="67">
        <f t="shared" si="1"/>
        <v>154.58100000000007</v>
      </c>
      <c r="O20" s="11">
        <f>'sep 2022'!T20</f>
        <v>741.01099999999985</v>
      </c>
      <c r="P20" s="10">
        <v>0</v>
      </c>
      <c r="Q20" s="10">
        <f>'sep 2022'!Q20+'Oct 2022'!P20</f>
        <v>399.08000000000004</v>
      </c>
      <c r="R20" s="10">
        <v>0</v>
      </c>
      <c r="S20" s="10">
        <f>'sep 2022'!S20+'Oct 2022'!R20</f>
        <v>0</v>
      </c>
      <c r="T20" s="68">
        <f t="shared" si="2"/>
        <v>741.01099999999985</v>
      </c>
      <c r="U20" s="11">
        <f t="shared" si="3"/>
        <v>1920.0169999999994</v>
      </c>
      <c r="V20" s="12"/>
      <c r="W20" s="12"/>
    </row>
    <row r="21" spans="1:23" ht="42.75" customHeight="1">
      <c r="A21" s="8">
        <v>12</v>
      </c>
      <c r="B21" s="9" t="s">
        <v>29</v>
      </c>
      <c r="C21" s="10">
        <f>'sep 2022'!H21</f>
        <v>142.68999999999988</v>
      </c>
      <c r="D21" s="10">
        <v>0</v>
      </c>
      <c r="E21" s="10">
        <f>'sep 2022'!E21+'Oct 2022'!D21</f>
        <v>0</v>
      </c>
      <c r="F21" s="10">
        <v>0</v>
      </c>
      <c r="G21" s="10">
        <f>'sep 2022'!G21+'Oct 2022'!F21</f>
        <v>0</v>
      </c>
      <c r="H21" s="67">
        <f t="shared" si="0"/>
        <v>142.68999999999988</v>
      </c>
      <c r="I21" s="10">
        <f>'sep 2022'!N21</f>
        <v>50.733000000000018</v>
      </c>
      <c r="J21" s="10">
        <v>0.42</v>
      </c>
      <c r="K21" s="10">
        <f>'sep 2022'!K21+'Oct 2022'!J21</f>
        <v>0.99</v>
      </c>
      <c r="L21" s="10">
        <v>0</v>
      </c>
      <c r="M21" s="10">
        <f>'sep 2022'!M21+'Oct 2022'!L21</f>
        <v>0</v>
      </c>
      <c r="N21" s="67">
        <f t="shared" si="1"/>
        <v>51.15300000000002</v>
      </c>
      <c r="O21" s="11">
        <f>'sep 2022'!T21</f>
        <v>310.79999999999995</v>
      </c>
      <c r="P21" s="10">
        <v>0</v>
      </c>
      <c r="Q21" s="10">
        <f>'sep 2022'!Q21+'Oct 2022'!P21</f>
        <v>44.3</v>
      </c>
      <c r="R21" s="10">
        <v>0</v>
      </c>
      <c r="S21" s="10">
        <f>'sep 2022'!S21+'Oct 2022'!R21</f>
        <v>0</v>
      </c>
      <c r="T21" s="68">
        <f t="shared" si="2"/>
        <v>310.79999999999995</v>
      </c>
      <c r="U21" s="11">
        <f t="shared" si="3"/>
        <v>504.64299999999986</v>
      </c>
      <c r="V21" s="12"/>
      <c r="W21" s="12"/>
    </row>
    <row r="22" spans="1:23" ht="42.75" customHeight="1">
      <c r="A22" s="8">
        <v>13</v>
      </c>
      <c r="B22" s="9" t="s">
        <v>30</v>
      </c>
      <c r="C22" s="10">
        <f>'sep 2022'!H22</f>
        <v>27.069999999999879</v>
      </c>
      <c r="D22" s="10">
        <v>0</v>
      </c>
      <c r="E22" s="10">
        <f>'sep 2022'!E22+'Oct 2022'!D22</f>
        <v>0</v>
      </c>
      <c r="F22" s="10">
        <v>0</v>
      </c>
      <c r="G22" s="10">
        <f>'sep 2022'!G22+'Oct 2022'!F22</f>
        <v>0</v>
      </c>
      <c r="H22" s="67">
        <f t="shared" si="0"/>
        <v>27.069999999999879</v>
      </c>
      <c r="I22" s="10">
        <f>'sep 2022'!N22</f>
        <v>15.730000000000006</v>
      </c>
      <c r="J22" s="10">
        <v>0</v>
      </c>
      <c r="K22" s="10">
        <f>'sep 2022'!K22+'Oct 2022'!J22</f>
        <v>0.13</v>
      </c>
      <c r="L22" s="10">
        <v>0</v>
      </c>
      <c r="M22" s="10">
        <f>'sep 2022'!M22+'Oct 2022'!L22</f>
        <v>0</v>
      </c>
      <c r="N22" s="67">
        <f t="shared" si="1"/>
        <v>15.730000000000006</v>
      </c>
      <c r="O22" s="11">
        <f>'sep 2022'!T22</f>
        <v>775.6099999999999</v>
      </c>
      <c r="P22" s="10">
        <v>0</v>
      </c>
      <c r="Q22" s="10">
        <f>'sep 2022'!Q22+'Oct 2022'!P22</f>
        <v>104.10000000000001</v>
      </c>
      <c r="R22" s="10">
        <v>0</v>
      </c>
      <c r="S22" s="10">
        <f>'sep 2022'!S22+'Oct 2022'!R22</f>
        <v>0</v>
      </c>
      <c r="T22" s="68">
        <f t="shared" si="2"/>
        <v>775.6099999999999</v>
      </c>
      <c r="U22" s="11">
        <f t="shared" si="3"/>
        <v>818.40999999999974</v>
      </c>
      <c r="V22" s="12"/>
      <c r="W22" s="12"/>
    </row>
    <row r="23" spans="1:23" ht="42.75" customHeight="1">
      <c r="A23" s="8">
        <v>14</v>
      </c>
      <c r="B23" s="9" t="s">
        <v>31</v>
      </c>
      <c r="C23" s="10">
        <f>'sep 2022'!H23</f>
        <v>1117.9319999999998</v>
      </c>
      <c r="D23" s="10">
        <v>2</v>
      </c>
      <c r="E23" s="10">
        <f>'sep 2022'!E23+'Oct 2022'!D23</f>
        <v>21.97</v>
      </c>
      <c r="F23" s="10">
        <v>0</v>
      </c>
      <c r="G23" s="10">
        <f>'sep 2022'!G23+'Oct 2022'!F23</f>
        <v>75</v>
      </c>
      <c r="H23" s="67">
        <f t="shared" si="0"/>
        <v>1119.9319999999998</v>
      </c>
      <c r="I23" s="10">
        <f>'sep 2022'!N23</f>
        <v>37.413999999999994</v>
      </c>
      <c r="J23" s="10">
        <v>1.42</v>
      </c>
      <c r="K23" s="10">
        <f>'sep 2022'!K23+'Oct 2022'!J23</f>
        <v>23.54</v>
      </c>
      <c r="L23" s="10">
        <v>0</v>
      </c>
      <c r="M23" s="10">
        <f>'sep 2022'!M23+'Oct 2022'!L23</f>
        <v>0</v>
      </c>
      <c r="N23" s="67">
        <f t="shared" si="1"/>
        <v>38.833999999999996</v>
      </c>
      <c r="O23" s="11">
        <f>'sep 2022'!T23</f>
        <v>397.815</v>
      </c>
      <c r="P23" s="10">
        <v>4.25</v>
      </c>
      <c r="Q23" s="10">
        <f>'sep 2022'!Q23+'Oct 2022'!P23</f>
        <v>234.78000000000003</v>
      </c>
      <c r="R23" s="10">
        <v>0</v>
      </c>
      <c r="S23" s="10">
        <f>'sep 2022'!S23+'Oct 2022'!R23</f>
        <v>0</v>
      </c>
      <c r="T23" s="68">
        <f t="shared" si="2"/>
        <v>402.065</v>
      </c>
      <c r="U23" s="11">
        <f t="shared" si="3"/>
        <v>1560.8309999999999</v>
      </c>
      <c r="V23" s="12"/>
      <c r="W23" s="12"/>
    </row>
    <row r="24" spans="1:23" s="17" customFormat="1" ht="42.75" customHeight="1">
      <c r="A24" s="14"/>
      <c r="B24" s="97" t="s">
        <v>32</v>
      </c>
      <c r="C24" s="16">
        <f>SUM(C20:C23)</f>
        <v>2312.1169999999988</v>
      </c>
      <c r="D24" s="16">
        <f t="shared" ref="D24:U24" si="7">SUM(D20:D23)</f>
        <v>2</v>
      </c>
      <c r="E24" s="16">
        <f t="shared" si="7"/>
        <v>22.849999999999998</v>
      </c>
      <c r="F24" s="16">
        <f t="shared" si="7"/>
        <v>0</v>
      </c>
      <c r="G24" s="16">
        <f t="shared" si="7"/>
        <v>255</v>
      </c>
      <c r="H24" s="95">
        <f t="shared" si="7"/>
        <v>2314.1169999999988</v>
      </c>
      <c r="I24" s="16">
        <f t="shared" si="7"/>
        <v>258.2480000000001</v>
      </c>
      <c r="J24" s="16">
        <f t="shared" si="7"/>
        <v>2.0499999999999998</v>
      </c>
      <c r="K24" s="16">
        <f t="shared" si="7"/>
        <v>26.939999999999998</v>
      </c>
      <c r="L24" s="16">
        <f t="shared" si="7"/>
        <v>0</v>
      </c>
      <c r="M24" s="16">
        <f t="shared" si="7"/>
        <v>0</v>
      </c>
      <c r="N24" s="95">
        <f t="shared" si="7"/>
        <v>260.29800000000012</v>
      </c>
      <c r="O24" s="16">
        <f t="shared" si="7"/>
        <v>2225.2359999999994</v>
      </c>
      <c r="P24" s="16">
        <f t="shared" si="7"/>
        <v>4.25</v>
      </c>
      <c r="Q24" s="16">
        <f t="shared" si="7"/>
        <v>782.26</v>
      </c>
      <c r="R24" s="16">
        <f t="shared" si="7"/>
        <v>0</v>
      </c>
      <c r="S24" s="16">
        <f t="shared" si="7"/>
        <v>0</v>
      </c>
      <c r="T24" s="95">
        <f t="shared" si="7"/>
        <v>2229.4859999999994</v>
      </c>
      <c r="U24" s="16">
        <f t="shared" si="7"/>
        <v>4803.9009999999989</v>
      </c>
      <c r="V24" s="92"/>
      <c r="W24" s="92"/>
    </row>
    <row r="25" spans="1:23" s="17" customFormat="1" ht="42.75" customHeight="1">
      <c r="A25" s="14"/>
      <c r="B25" s="15" t="s">
        <v>33</v>
      </c>
      <c r="C25" s="16">
        <f>C24+C19+C15+C11</f>
        <v>10556.212999999994</v>
      </c>
      <c r="D25" s="16">
        <f t="shared" ref="D25:U25" si="8">D24+D19+D15+D11</f>
        <v>3.35</v>
      </c>
      <c r="E25" s="16">
        <f t="shared" si="8"/>
        <v>127.57999999999998</v>
      </c>
      <c r="F25" s="16">
        <f t="shared" si="8"/>
        <v>307.29000000000002</v>
      </c>
      <c r="G25" s="16">
        <f t="shared" si="8"/>
        <v>720.78</v>
      </c>
      <c r="H25" s="16">
        <f t="shared" si="8"/>
        <v>10252.272999999996</v>
      </c>
      <c r="I25" s="16">
        <f t="shared" si="8"/>
        <v>1533.5470000000003</v>
      </c>
      <c r="J25" s="16">
        <f t="shared" si="8"/>
        <v>13.338000000000001</v>
      </c>
      <c r="K25" s="16">
        <f t="shared" si="8"/>
        <v>112.50700000000001</v>
      </c>
      <c r="L25" s="16">
        <f t="shared" si="8"/>
        <v>0</v>
      </c>
      <c r="M25" s="16">
        <f t="shared" si="8"/>
        <v>2.4500000000000002</v>
      </c>
      <c r="N25" s="16">
        <f t="shared" si="8"/>
        <v>1546.8850000000002</v>
      </c>
      <c r="O25" s="16">
        <f t="shared" si="8"/>
        <v>5717.2240000000002</v>
      </c>
      <c r="P25" s="16">
        <f t="shared" si="8"/>
        <v>348.86</v>
      </c>
      <c r="Q25" s="16">
        <f t="shared" si="8"/>
        <v>1721.03</v>
      </c>
      <c r="R25" s="16">
        <f t="shared" si="8"/>
        <v>0</v>
      </c>
      <c r="S25" s="16">
        <f t="shared" si="8"/>
        <v>70.959999999999994</v>
      </c>
      <c r="T25" s="16">
        <f t="shared" si="8"/>
        <v>6066.0839999999998</v>
      </c>
      <c r="U25" s="16">
        <f t="shared" si="8"/>
        <v>17865.241999999998</v>
      </c>
      <c r="V25" s="92"/>
      <c r="W25" s="92"/>
    </row>
    <row r="26" spans="1:23" ht="42.75" customHeight="1">
      <c r="A26" s="8">
        <v>15</v>
      </c>
      <c r="B26" s="9" t="s">
        <v>34</v>
      </c>
      <c r="C26" s="10">
        <f>'sep 2022'!H26</f>
        <v>1199.4319999999993</v>
      </c>
      <c r="D26" s="10">
        <v>2.77</v>
      </c>
      <c r="E26" s="10">
        <f>'sep 2022'!E26+'Oct 2022'!D26</f>
        <v>18.559999999999999</v>
      </c>
      <c r="F26" s="10">
        <v>0</v>
      </c>
      <c r="G26" s="10">
        <f>'sep 2022'!G26+'Oct 2022'!F26</f>
        <v>0</v>
      </c>
      <c r="H26" s="67">
        <f t="shared" si="0"/>
        <v>1202.2019999999993</v>
      </c>
      <c r="I26" s="10">
        <f>'sep 2022'!N26</f>
        <v>0.08</v>
      </c>
      <c r="J26" s="10">
        <v>0</v>
      </c>
      <c r="K26" s="10">
        <f>'sep 2022'!K26+'Oct 2022'!J26</f>
        <v>0.08</v>
      </c>
      <c r="L26" s="10">
        <v>0</v>
      </c>
      <c r="M26" s="10">
        <f>'sep 2022'!M26+'Oct 2022'!L26</f>
        <v>0</v>
      </c>
      <c r="N26" s="67">
        <f t="shared" si="1"/>
        <v>0.08</v>
      </c>
      <c r="O26" s="11">
        <f>'sep 2022'!T26</f>
        <v>166.29000000000002</v>
      </c>
      <c r="P26" s="10">
        <v>0</v>
      </c>
      <c r="Q26" s="10">
        <f>'sep 2022'!Q26+'Oct 2022'!P26</f>
        <v>36.910000000000004</v>
      </c>
      <c r="R26" s="10">
        <v>0</v>
      </c>
      <c r="S26" s="10">
        <f>'sep 2022'!S26+'Oct 2022'!R26</f>
        <v>0.18</v>
      </c>
      <c r="T26" s="68">
        <f t="shared" si="2"/>
        <v>166.29000000000002</v>
      </c>
      <c r="U26" s="68">
        <f t="shared" si="3"/>
        <v>1368.5719999999992</v>
      </c>
      <c r="V26" s="115"/>
      <c r="W26" s="12"/>
    </row>
    <row r="27" spans="1:23" ht="42.75" customHeight="1">
      <c r="A27" s="8">
        <v>16</v>
      </c>
      <c r="B27" s="9" t="s">
        <v>67</v>
      </c>
      <c r="C27" s="10">
        <f>'sep 2022'!H27</f>
        <v>10366.826999999992</v>
      </c>
      <c r="D27" s="10">
        <v>16.78</v>
      </c>
      <c r="E27" s="10">
        <f>'sep 2022'!E27+'Oct 2022'!D27</f>
        <v>85.42</v>
      </c>
      <c r="F27" s="10">
        <v>0</v>
      </c>
      <c r="G27" s="10">
        <f>'sep 2022'!G27+'Oct 2022'!F27</f>
        <v>0</v>
      </c>
      <c r="H27" s="67">
        <f t="shared" si="0"/>
        <v>10383.606999999993</v>
      </c>
      <c r="I27" s="10">
        <f>'sep 2022'!N27</f>
        <v>395.69499999999999</v>
      </c>
      <c r="J27" s="10">
        <v>0.35</v>
      </c>
      <c r="K27" s="10">
        <f>'sep 2022'!K27+'Oct 2022'!J27</f>
        <v>11.01</v>
      </c>
      <c r="L27" s="10">
        <v>0</v>
      </c>
      <c r="M27" s="10">
        <f>'sep 2022'!M27+'Oct 2022'!L27</f>
        <v>0</v>
      </c>
      <c r="N27" s="67">
        <f t="shared" si="1"/>
        <v>396.04500000000002</v>
      </c>
      <c r="O27" s="11">
        <f>'sep 2022'!T27</f>
        <v>35.980000000000011</v>
      </c>
      <c r="P27" s="10">
        <v>0.92</v>
      </c>
      <c r="Q27" s="10">
        <f>'sep 2022'!Q27+'Oct 2022'!P27</f>
        <v>6.76</v>
      </c>
      <c r="R27" s="10">
        <v>0</v>
      </c>
      <c r="S27" s="10">
        <f>'sep 2022'!S27+'Oct 2022'!R27</f>
        <v>45.21</v>
      </c>
      <c r="T27" s="68">
        <f t="shared" si="2"/>
        <v>36.900000000000013</v>
      </c>
      <c r="U27" s="68">
        <f t="shared" si="3"/>
        <v>10816.551999999992</v>
      </c>
      <c r="V27" s="115"/>
      <c r="W27" s="12"/>
    </row>
    <row r="28" spans="1:23" s="17" customFormat="1" ht="42.75" customHeight="1">
      <c r="A28" s="14"/>
      <c r="B28" s="97" t="s">
        <v>35</v>
      </c>
      <c r="C28" s="16">
        <f>SUM(C26:C27)</f>
        <v>11566.258999999991</v>
      </c>
      <c r="D28" s="16">
        <f t="shared" ref="D28:U28" si="9">SUM(D26:D27)</f>
        <v>19.55</v>
      </c>
      <c r="E28" s="16">
        <f t="shared" si="9"/>
        <v>103.98</v>
      </c>
      <c r="F28" s="16">
        <f t="shared" si="9"/>
        <v>0</v>
      </c>
      <c r="G28" s="16">
        <f t="shared" si="9"/>
        <v>0</v>
      </c>
      <c r="H28" s="16">
        <f t="shared" si="9"/>
        <v>11585.808999999992</v>
      </c>
      <c r="I28" s="16">
        <f t="shared" si="9"/>
        <v>395.77499999999998</v>
      </c>
      <c r="J28" s="16">
        <f t="shared" si="9"/>
        <v>0.35</v>
      </c>
      <c r="K28" s="16">
        <f t="shared" si="9"/>
        <v>11.09</v>
      </c>
      <c r="L28" s="16">
        <f t="shared" si="9"/>
        <v>0</v>
      </c>
      <c r="M28" s="16">
        <f t="shared" si="9"/>
        <v>0</v>
      </c>
      <c r="N28" s="95">
        <f t="shared" si="9"/>
        <v>396.125</v>
      </c>
      <c r="O28" s="16">
        <f t="shared" si="9"/>
        <v>202.27000000000004</v>
      </c>
      <c r="P28" s="16">
        <f t="shared" si="9"/>
        <v>0.92</v>
      </c>
      <c r="Q28" s="16">
        <f t="shared" si="9"/>
        <v>43.67</v>
      </c>
      <c r="R28" s="16">
        <f t="shared" si="9"/>
        <v>0</v>
      </c>
      <c r="S28" s="16">
        <f t="shared" si="9"/>
        <v>45.39</v>
      </c>
      <c r="T28" s="16">
        <f t="shared" si="9"/>
        <v>203.19000000000003</v>
      </c>
      <c r="U28" s="16">
        <f t="shared" si="9"/>
        <v>12185.123999999993</v>
      </c>
      <c r="V28" s="94"/>
      <c r="W28" s="94"/>
    </row>
    <row r="29" spans="1:23" ht="42.75" customHeight="1">
      <c r="A29" s="8">
        <v>17</v>
      </c>
      <c r="B29" s="9" t="s">
        <v>36</v>
      </c>
      <c r="C29" s="10">
        <f>'sep 2022'!H29</f>
        <v>4452.3930000000018</v>
      </c>
      <c r="D29" s="10">
        <v>6.6139999999999999</v>
      </c>
      <c r="E29" s="10">
        <f>'sep 2022'!E29+'Oct 2022'!D29</f>
        <v>57.393999999999998</v>
      </c>
      <c r="F29" s="10">
        <v>0</v>
      </c>
      <c r="G29" s="10">
        <f>'sep 2022'!G29+'Oct 2022'!F29</f>
        <v>0</v>
      </c>
      <c r="H29" s="67">
        <f t="shared" si="0"/>
        <v>4459.0070000000014</v>
      </c>
      <c r="I29" s="10">
        <f>'sep 2022'!N29</f>
        <v>184.70000000000002</v>
      </c>
      <c r="J29" s="10">
        <v>0</v>
      </c>
      <c r="K29" s="10">
        <f>'sep 2022'!K29+'Oct 2022'!J29</f>
        <v>113.00999999999999</v>
      </c>
      <c r="L29" s="10">
        <v>0</v>
      </c>
      <c r="M29" s="10">
        <f>'sep 2022'!M29+'Oct 2022'!L29</f>
        <v>0</v>
      </c>
      <c r="N29" s="67">
        <f t="shared" si="1"/>
        <v>184.70000000000002</v>
      </c>
      <c r="O29" s="11">
        <f>'sep 2022'!T29</f>
        <v>138.08000000000001</v>
      </c>
      <c r="P29" s="67">
        <f>0.72+107.94</f>
        <v>108.66</v>
      </c>
      <c r="Q29" s="10">
        <f>'sep 2022'!Q29+'Oct 2022'!P29</f>
        <v>108.66</v>
      </c>
      <c r="R29" s="10">
        <v>0</v>
      </c>
      <c r="S29" s="10">
        <f>'sep 2022'!S29+'Oct 2022'!R29</f>
        <v>0</v>
      </c>
      <c r="T29" s="11">
        <f t="shared" si="2"/>
        <v>246.74</v>
      </c>
      <c r="U29" s="11">
        <f t="shared" si="3"/>
        <v>4890.447000000001</v>
      </c>
      <c r="V29" s="12"/>
      <c r="W29" s="12"/>
    </row>
    <row r="30" spans="1:23" ht="42.75" customHeight="1">
      <c r="A30" s="8">
        <v>18</v>
      </c>
      <c r="B30" s="9" t="s">
        <v>37</v>
      </c>
      <c r="C30" s="10">
        <f>'sep 2022'!H30</f>
        <v>6405.9240000000018</v>
      </c>
      <c r="D30" s="10">
        <v>1.3540000000000001</v>
      </c>
      <c r="E30" s="10">
        <f>'sep 2022'!E30+'Oct 2022'!D30</f>
        <v>231.93400000000003</v>
      </c>
      <c r="F30" s="10">
        <v>0</v>
      </c>
      <c r="G30" s="10">
        <f>'sep 2022'!G30+'Oct 2022'!F30</f>
        <v>0</v>
      </c>
      <c r="H30" s="67">
        <f t="shared" si="0"/>
        <v>6407.2780000000021</v>
      </c>
      <c r="I30" s="10">
        <f>'sep 2022'!N30</f>
        <v>130.80000000000001</v>
      </c>
      <c r="J30" s="10">
        <v>0</v>
      </c>
      <c r="K30" s="10">
        <f>'sep 2022'!K30+'Oct 2022'!J30</f>
        <v>130.80000000000001</v>
      </c>
      <c r="L30" s="10">
        <v>0</v>
      </c>
      <c r="M30" s="10">
        <f>'sep 2022'!M30+'Oct 2022'!L30</f>
        <v>0</v>
      </c>
      <c r="N30" s="67">
        <f t="shared" si="1"/>
        <v>130.80000000000001</v>
      </c>
      <c r="O30" s="11">
        <f>'sep 2022'!T30</f>
        <v>45.14</v>
      </c>
      <c r="P30" s="67">
        <v>29.91</v>
      </c>
      <c r="Q30" s="10">
        <f>'sep 2022'!Q30+'Oct 2022'!P30</f>
        <v>74.83</v>
      </c>
      <c r="R30" s="10">
        <v>0</v>
      </c>
      <c r="S30" s="10">
        <f>'sep 2022'!S30+'Oct 2022'!R30</f>
        <v>0</v>
      </c>
      <c r="T30" s="11">
        <f t="shared" si="2"/>
        <v>75.05</v>
      </c>
      <c r="U30" s="11">
        <f t="shared" si="3"/>
        <v>6613.1280000000024</v>
      </c>
      <c r="V30" s="12"/>
      <c r="W30" s="12"/>
    </row>
    <row r="31" spans="1:23" ht="42.75" customHeight="1">
      <c r="A31" s="8">
        <v>19</v>
      </c>
      <c r="B31" s="9" t="s">
        <v>38</v>
      </c>
      <c r="C31" s="10">
        <f>'sep 2022'!H31</f>
        <v>3095.0579999999991</v>
      </c>
      <c r="D31" s="10">
        <v>9.5739999999999998</v>
      </c>
      <c r="E31" s="10">
        <f>'sep 2022'!E31+'Oct 2022'!D31</f>
        <v>33.949000000000005</v>
      </c>
      <c r="F31" s="10">
        <v>0</v>
      </c>
      <c r="G31" s="10">
        <f>'sep 2022'!G31+'Oct 2022'!F31</f>
        <v>3.38</v>
      </c>
      <c r="H31" s="67">
        <f t="shared" si="0"/>
        <v>3104.6319999999992</v>
      </c>
      <c r="I31" s="10">
        <f>'sep 2022'!N31</f>
        <v>50.180000000000007</v>
      </c>
      <c r="J31" s="10">
        <v>0</v>
      </c>
      <c r="K31" s="10">
        <f>'sep 2022'!K31+'Oct 2022'!J31</f>
        <v>47.02</v>
      </c>
      <c r="L31" s="10">
        <v>0</v>
      </c>
      <c r="M31" s="10">
        <f>'sep 2022'!M31+'Oct 2022'!L31</f>
        <v>0</v>
      </c>
      <c r="N31" s="67">
        <f t="shared" si="1"/>
        <v>50.180000000000007</v>
      </c>
      <c r="O31" s="11">
        <f>'sep 2022'!T31</f>
        <v>177.35999999999999</v>
      </c>
      <c r="P31" s="67">
        <v>11.18</v>
      </c>
      <c r="Q31" s="10">
        <f>'sep 2022'!Q31+'Oct 2022'!P31</f>
        <v>60.06</v>
      </c>
      <c r="R31" s="10">
        <v>0</v>
      </c>
      <c r="S31" s="10">
        <f>'sep 2022'!S31+'Oct 2022'!R31</f>
        <v>0</v>
      </c>
      <c r="T31" s="11">
        <f t="shared" si="2"/>
        <v>188.54</v>
      </c>
      <c r="U31" s="11">
        <f t="shared" si="3"/>
        <v>3343.351999999999</v>
      </c>
      <c r="V31" s="12"/>
      <c r="W31" s="12"/>
    </row>
    <row r="32" spans="1:23" ht="42.75" customHeight="1">
      <c r="A32" s="8">
        <v>20</v>
      </c>
      <c r="B32" s="9" t="s">
        <v>39</v>
      </c>
      <c r="C32" s="10">
        <f>'sep 2022'!H32</f>
        <v>4375.92</v>
      </c>
      <c r="D32" s="10">
        <v>3.97</v>
      </c>
      <c r="E32" s="10">
        <f>'sep 2022'!E32+'Oct 2022'!D32</f>
        <v>24.019999999999996</v>
      </c>
      <c r="F32" s="10">
        <v>0</v>
      </c>
      <c r="G32" s="10">
        <f>'sep 2022'!G32+'Oct 2022'!F32</f>
        <v>0</v>
      </c>
      <c r="H32" s="67">
        <f t="shared" si="0"/>
        <v>4379.8900000000003</v>
      </c>
      <c r="I32" s="10">
        <f>'sep 2022'!N32</f>
        <v>220.75</v>
      </c>
      <c r="J32" s="10">
        <v>0.16</v>
      </c>
      <c r="K32" s="10">
        <f>'sep 2022'!K32+'Oct 2022'!J32</f>
        <v>87.07</v>
      </c>
      <c r="L32" s="10">
        <v>0</v>
      </c>
      <c r="M32" s="10">
        <f>'sep 2022'!M32+'Oct 2022'!L32</f>
        <v>0</v>
      </c>
      <c r="N32" s="67">
        <f t="shared" si="1"/>
        <v>220.91</v>
      </c>
      <c r="O32" s="11">
        <f>'sep 2022'!T32</f>
        <v>243.64999999999995</v>
      </c>
      <c r="P32" s="10">
        <v>0</v>
      </c>
      <c r="Q32" s="10">
        <f>'sep 2022'!Q32+'Oct 2022'!P32</f>
        <v>0.01</v>
      </c>
      <c r="R32" s="10">
        <v>0</v>
      </c>
      <c r="S32" s="10">
        <f>'sep 2022'!S32+'Oct 2022'!R32</f>
        <v>27.41</v>
      </c>
      <c r="T32" s="68">
        <f t="shared" si="2"/>
        <v>243.64999999999995</v>
      </c>
      <c r="U32" s="11">
        <f t="shared" si="3"/>
        <v>4844.45</v>
      </c>
      <c r="V32" s="12"/>
      <c r="W32" s="12"/>
    </row>
    <row r="33" spans="1:23" s="17" customFormat="1" ht="42.75" customHeight="1">
      <c r="A33" s="14"/>
      <c r="B33" s="97" t="s">
        <v>68</v>
      </c>
      <c r="C33" s="16">
        <f>SUM(C29:C32)</f>
        <v>18329.295000000002</v>
      </c>
      <c r="D33" s="16">
        <f t="shared" ref="D33:U33" si="10">SUM(D29:D32)</f>
        <v>21.512</v>
      </c>
      <c r="E33" s="16">
        <f t="shared" si="10"/>
        <v>347.29700000000003</v>
      </c>
      <c r="F33" s="16">
        <f t="shared" si="10"/>
        <v>0</v>
      </c>
      <c r="G33" s="16">
        <f t="shared" si="10"/>
        <v>3.38</v>
      </c>
      <c r="H33" s="95">
        <f t="shared" si="10"/>
        <v>18350.807000000004</v>
      </c>
      <c r="I33" s="16">
        <f t="shared" si="10"/>
        <v>586.43000000000006</v>
      </c>
      <c r="J33" s="16">
        <f t="shared" si="10"/>
        <v>0.16</v>
      </c>
      <c r="K33" s="16">
        <f t="shared" si="10"/>
        <v>377.9</v>
      </c>
      <c r="L33" s="16">
        <f t="shared" si="10"/>
        <v>0</v>
      </c>
      <c r="M33" s="16">
        <f t="shared" si="10"/>
        <v>0</v>
      </c>
      <c r="N33" s="16">
        <f t="shared" si="10"/>
        <v>586.59</v>
      </c>
      <c r="O33" s="16">
        <f t="shared" si="10"/>
        <v>604.23</v>
      </c>
      <c r="P33" s="16">
        <f t="shared" si="10"/>
        <v>149.75</v>
      </c>
      <c r="Q33" s="16">
        <f t="shared" si="10"/>
        <v>243.56</v>
      </c>
      <c r="R33" s="16">
        <f t="shared" si="10"/>
        <v>0</v>
      </c>
      <c r="S33" s="16">
        <f t="shared" si="10"/>
        <v>27.41</v>
      </c>
      <c r="T33" s="16">
        <f t="shared" si="10"/>
        <v>753.98</v>
      </c>
      <c r="U33" s="16">
        <f t="shared" si="10"/>
        <v>19691.377000000004</v>
      </c>
      <c r="V33" s="92"/>
      <c r="W33" s="92"/>
    </row>
    <row r="34" spans="1:23" ht="42.75" customHeight="1">
      <c r="A34" s="8">
        <v>21</v>
      </c>
      <c r="B34" s="9" t="s">
        <v>40</v>
      </c>
      <c r="C34" s="10">
        <f>'sep 2022'!H34</f>
        <v>5921.6900000000014</v>
      </c>
      <c r="D34" s="10">
        <v>10.5</v>
      </c>
      <c r="E34" s="10">
        <f>'sep 2022'!E34+'Oct 2022'!D34</f>
        <v>66.08</v>
      </c>
      <c r="F34" s="10">
        <v>0</v>
      </c>
      <c r="G34" s="10">
        <f>'sep 2022'!G34+'Oct 2022'!F34</f>
        <v>0</v>
      </c>
      <c r="H34" s="10">
        <f t="shared" si="0"/>
        <v>5932.1900000000014</v>
      </c>
      <c r="I34" s="10">
        <f>'sep 2022'!N34</f>
        <v>2</v>
      </c>
      <c r="J34" s="10">
        <v>0</v>
      </c>
      <c r="K34" s="10">
        <f>'sep 2022'!K34+'Oct 2022'!J34</f>
        <v>2</v>
      </c>
      <c r="L34" s="10">
        <v>0</v>
      </c>
      <c r="M34" s="10">
        <f>'sep 2022'!M34+'Oct 2022'!L34</f>
        <v>0</v>
      </c>
      <c r="N34" s="67">
        <f t="shared" si="1"/>
        <v>2</v>
      </c>
      <c r="O34" s="11">
        <f>'sep 2022'!T34</f>
        <v>38.700000000000003</v>
      </c>
      <c r="P34" s="10">
        <v>0</v>
      </c>
      <c r="Q34" s="10">
        <f>'sep 2022'!Q34+'Oct 2022'!P34</f>
        <v>38.700000000000003</v>
      </c>
      <c r="R34" s="10">
        <v>0</v>
      </c>
      <c r="S34" s="10">
        <f>'sep 2022'!S34+'Oct 2022'!R34</f>
        <v>0</v>
      </c>
      <c r="T34" s="68">
        <f t="shared" si="2"/>
        <v>38.700000000000003</v>
      </c>
      <c r="U34" s="11">
        <f t="shared" si="3"/>
        <v>5972.8900000000012</v>
      </c>
      <c r="V34" s="18"/>
      <c r="W34" s="18"/>
    </row>
    <row r="35" spans="1:23" ht="42.75" customHeight="1">
      <c r="A35" s="8">
        <v>22</v>
      </c>
      <c r="B35" s="9" t="s">
        <v>41</v>
      </c>
      <c r="C35" s="10">
        <f>'sep 2022'!H35</f>
        <v>4719.0950000000012</v>
      </c>
      <c r="D35" s="10">
        <v>9.01</v>
      </c>
      <c r="E35" s="10">
        <f>'sep 2022'!E35+'Oct 2022'!D35</f>
        <v>103.2</v>
      </c>
      <c r="F35" s="10">
        <v>0</v>
      </c>
      <c r="G35" s="10">
        <f>'sep 2022'!G35+'Oct 2022'!F35</f>
        <v>0</v>
      </c>
      <c r="H35" s="10">
        <f t="shared" si="0"/>
        <v>4728.1050000000014</v>
      </c>
      <c r="I35" s="10">
        <f>'sep 2022'!N35</f>
        <v>0.1</v>
      </c>
      <c r="J35" s="10">
        <v>0</v>
      </c>
      <c r="K35" s="10">
        <f>'sep 2022'!K35+'Oct 2022'!J35</f>
        <v>0</v>
      </c>
      <c r="L35" s="10">
        <v>0</v>
      </c>
      <c r="M35" s="10">
        <f>'sep 2022'!M35+'Oct 2022'!L35</f>
        <v>0</v>
      </c>
      <c r="N35" s="67">
        <f t="shared" si="1"/>
        <v>0.1</v>
      </c>
      <c r="O35" s="11">
        <f>'sep 2022'!T35</f>
        <v>117.36000000000001</v>
      </c>
      <c r="P35" s="10">
        <v>0</v>
      </c>
      <c r="Q35" s="10">
        <f>'sep 2022'!Q35+'Oct 2022'!P35</f>
        <v>100.93</v>
      </c>
      <c r="R35" s="10">
        <v>0</v>
      </c>
      <c r="S35" s="10">
        <f>'sep 2022'!S35+'Oct 2022'!R35</f>
        <v>0</v>
      </c>
      <c r="T35" s="68">
        <f t="shared" si="2"/>
        <v>117.36000000000001</v>
      </c>
      <c r="U35" s="11">
        <f t="shared" si="3"/>
        <v>4845.5650000000014</v>
      </c>
      <c r="V35" s="18"/>
      <c r="W35" s="18"/>
    </row>
    <row r="36" spans="1:23" ht="42.75" customHeight="1">
      <c r="A36" s="8">
        <v>23</v>
      </c>
      <c r="B36" s="9" t="s">
        <v>42</v>
      </c>
      <c r="C36" s="10">
        <f>'sep 2022'!H36</f>
        <v>19368.120000000003</v>
      </c>
      <c r="D36" s="10">
        <v>0</v>
      </c>
      <c r="E36" s="10">
        <f>'sep 2022'!E36+'Oct 2022'!D36</f>
        <v>1.25</v>
      </c>
      <c r="F36" s="10">
        <v>0</v>
      </c>
      <c r="G36" s="10">
        <f>'sep 2022'!G36+'Oct 2022'!F36</f>
        <v>0</v>
      </c>
      <c r="H36" s="10">
        <f t="shared" si="0"/>
        <v>19368.120000000003</v>
      </c>
      <c r="I36" s="10">
        <f>'sep 2022'!N36</f>
        <v>8.5</v>
      </c>
      <c r="J36" s="10">
        <v>0</v>
      </c>
      <c r="K36" s="10">
        <f>'sep 2022'!K36+'Oct 2022'!J36</f>
        <v>0</v>
      </c>
      <c r="L36" s="10">
        <v>0</v>
      </c>
      <c r="M36" s="10">
        <f>'sep 2022'!M36+'Oct 2022'!L36</f>
        <v>0</v>
      </c>
      <c r="N36" s="67">
        <f t="shared" si="1"/>
        <v>8.5</v>
      </c>
      <c r="O36" s="11">
        <f>'sep 2022'!T36</f>
        <v>72.39</v>
      </c>
      <c r="P36" s="10">
        <v>0</v>
      </c>
      <c r="Q36" s="10">
        <f>'sep 2022'!Q36+'Oct 2022'!P36</f>
        <v>72.39</v>
      </c>
      <c r="R36" s="10">
        <v>0</v>
      </c>
      <c r="S36" s="10">
        <f>'sep 2022'!S36+'Oct 2022'!R36</f>
        <v>0</v>
      </c>
      <c r="T36" s="68">
        <f t="shared" si="2"/>
        <v>72.39</v>
      </c>
      <c r="U36" s="11">
        <f t="shared" si="3"/>
        <v>19449.010000000002</v>
      </c>
      <c r="V36" s="18"/>
      <c r="W36" s="18"/>
    </row>
    <row r="37" spans="1:23" ht="42.75" customHeight="1">
      <c r="A37" s="8">
        <v>24</v>
      </c>
      <c r="B37" s="9" t="s">
        <v>43</v>
      </c>
      <c r="C37" s="10">
        <f>'sep 2022'!H37</f>
        <v>7014.619999999999</v>
      </c>
      <c r="D37" s="10">
        <v>0.74</v>
      </c>
      <c r="E37" s="10">
        <f>'sep 2022'!E37+'Oct 2022'!D37</f>
        <v>7.7600000000000007</v>
      </c>
      <c r="F37" s="10">
        <v>0</v>
      </c>
      <c r="G37" s="10">
        <f>'sep 2022'!G37+'Oct 2022'!F37</f>
        <v>0</v>
      </c>
      <c r="H37" s="10">
        <f t="shared" si="0"/>
        <v>7015.3599999999988</v>
      </c>
      <c r="I37" s="10">
        <f>'sep 2022'!N37</f>
        <v>0</v>
      </c>
      <c r="J37" s="10">
        <v>0</v>
      </c>
      <c r="K37" s="10">
        <f>'sep 2022'!K37+'Oct 2022'!J37</f>
        <v>0</v>
      </c>
      <c r="L37" s="10">
        <v>0</v>
      </c>
      <c r="M37" s="10">
        <f>'sep 2022'!M37+'Oct 2022'!L37</f>
        <v>0</v>
      </c>
      <c r="N37" s="67">
        <f t="shared" si="1"/>
        <v>0</v>
      </c>
      <c r="O37" s="11">
        <f>'sep 2022'!T37</f>
        <v>3.1</v>
      </c>
      <c r="P37" s="10">
        <v>0</v>
      </c>
      <c r="Q37" s="10">
        <f>'sep 2022'!Q37+'Oct 2022'!P37</f>
        <v>0</v>
      </c>
      <c r="R37" s="10">
        <v>0</v>
      </c>
      <c r="S37" s="10">
        <f>'sep 2022'!S37+'Oct 2022'!R37</f>
        <v>0</v>
      </c>
      <c r="T37" s="68">
        <f t="shared" si="2"/>
        <v>3.1</v>
      </c>
      <c r="U37" s="11">
        <f t="shared" si="3"/>
        <v>7018.4599999999991</v>
      </c>
      <c r="V37" s="18"/>
      <c r="W37" s="18"/>
    </row>
    <row r="38" spans="1:23" s="17" customFormat="1" ht="42.75" customHeight="1">
      <c r="A38" s="14"/>
      <c r="B38" s="97" t="s">
        <v>44</v>
      </c>
      <c r="C38" s="16">
        <f>SUM(C34:C37)</f>
        <v>37023.525000000009</v>
      </c>
      <c r="D38" s="16">
        <f t="shared" ref="D38:U38" si="11">SUM(D34:D37)</f>
        <v>20.249999999999996</v>
      </c>
      <c r="E38" s="16">
        <f t="shared" si="11"/>
        <v>178.29</v>
      </c>
      <c r="F38" s="16">
        <f t="shared" si="11"/>
        <v>0</v>
      </c>
      <c r="G38" s="16">
        <f t="shared" si="11"/>
        <v>0</v>
      </c>
      <c r="H38" s="16">
        <f t="shared" si="11"/>
        <v>37043.775000000001</v>
      </c>
      <c r="I38" s="16">
        <f t="shared" si="11"/>
        <v>10.6</v>
      </c>
      <c r="J38" s="16">
        <f t="shared" si="11"/>
        <v>0</v>
      </c>
      <c r="K38" s="16">
        <f t="shared" si="11"/>
        <v>2</v>
      </c>
      <c r="L38" s="16">
        <f t="shared" si="11"/>
        <v>0</v>
      </c>
      <c r="M38" s="16">
        <f t="shared" si="11"/>
        <v>0</v>
      </c>
      <c r="N38" s="16">
        <f t="shared" si="11"/>
        <v>10.6</v>
      </c>
      <c r="O38" s="16">
        <f t="shared" si="11"/>
        <v>231.54999999999998</v>
      </c>
      <c r="P38" s="16">
        <f t="shared" si="11"/>
        <v>0</v>
      </c>
      <c r="Q38" s="16">
        <f t="shared" si="11"/>
        <v>212.01999999999998</v>
      </c>
      <c r="R38" s="16">
        <f t="shared" si="11"/>
        <v>0</v>
      </c>
      <c r="S38" s="16">
        <f t="shared" si="11"/>
        <v>0</v>
      </c>
      <c r="T38" s="95">
        <f t="shared" si="11"/>
        <v>231.54999999999998</v>
      </c>
      <c r="U38" s="16">
        <f t="shared" si="11"/>
        <v>37285.925000000003</v>
      </c>
      <c r="V38" s="92"/>
      <c r="W38" s="92"/>
    </row>
    <row r="39" spans="1:23" s="17" customFormat="1" ht="42.75" customHeight="1">
      <c r="A39" s="14"/>
      <c r="B39" s="15" t="s">
        <v>45</v>
      </c>
      <c r="C39" s="16">
        <f>C38+C33+C28</f>
        <v>66919.078999999998</v>
      </c>
      <c r="D39" s="16">
        <f t="shared" ref="D39:U39" si="12">D38+D33+D28</f>
        <v>61.311999999999998</v>
      </c>
      <c r="E39" s="16">
        <f t="shared" si="12"/>
        <v>629.56700000000001</v>
      </c>
      <c r="F39" s="16">
        <f t="shared" si="12"/>
        <v>0</v>
      </c>
      <c r="G39" s="16">
        <f t="shared" si="12"/>
        <v>3.38</v>
      </c>
      <c r="H39" s="16">
        <f t="shared" si="12"/>
        <v>66980.391000000003</v>
      </c>
      <c r="I39" s="16">
        <f t="shared" si="12"/>
        <v>992.80500000000006</v>
      </c>
      <c r="J39" s="16">
        <f t="shared" si="12"/>
        <v>0.51</v>
      </c>
      <c r="K39" s="16">
        <f t="shared" si="12"/>
        <v>390.98999999999995</v>
      </c>
      <c r="L39" s="16">
        <f t="shared" si="12"/>
        <v>0</v>
      </c>
      <c r="M39" s="16">
        <f t="shared" si="12"/>
        <v>0</v>
      </c>
      <c r="N39" s="16">
        <f t="shared" si="12"/>
        <v>993.31500000000005</v>
      </c>
      <c r="O39" s="16">
        <f t="shared" si="12"/>
        <v>1038.05</v>
      </c>
      <c r="P39" s="16">
        <f t="shared" si="12"/>
        <v>150.66999999999999</v>
      </c>
      <c r="Q39" s="16">
        <f t="shared" si="12"/>
        <v>499.25</v>
      </c>
      <c r="R39" s="16">
        <f t="shared" si="12"/>
        <v>0</v>
      </c>
      <c r="S39" s="16">
        <f t="shared" si="12"/>
        <v>72.8</v>
      </c>
      <c r="T39" s="16">
        <f t="shared" si="12"/>
        <v>1188.72</v>
      </c>
      <c r="U39" s="16">
        <f t="shared" si="12"/>
        <v>69162.426000000007</v>
      </c>
      <c r="V39" s="92"/>
      <c r="W39" s="92"/>
    </row>
    <row r="40" spans="1:23" ht="42.75" customHeight="1">
      <c r="A40" s="8">
        <v>25</v>
      </c>
      <c r="B40" s="9" t="s">
        <v>46</v>
      </c>
      <c r="C40" s="10">
        <f>'sep 2022'!H40</f>
        <v>13867.648000000003</v>
      </c>
      <c r="D40" s="10">
        <v>0</v>
      </c>
      <c r="E40" s="10">
        <f>'sep 2022'!E40+'Oct 2022'!D40</f>
        <v>82.559999999999988</v>
      </c>
      <c r="F40" s="10">
        <v>0.24</v>
      </c>
      <c r="G40" s="10">
        <f>'sep 2022'!G40+'Oct 2022'!F40</f>
        <v>0.24</v>
      </c>
      <c r="H40" s="67">
        <f t="shared" si="0"/>
        <v>13867.408000000003</v>
      </c>
      <c r="I40" s="10">
        <f>'sep 2022'!N40</f>
        <v>37.799999999999997</v>
      </c>
      <c r="J40" s="67">
        <v>31.5</v>
      </c>
      <c r="K40" s="10">
        <f>'sep 2022'!K40+'Oct 2022'!J40</f>
        <v>69.3</v>
      </c>
      <c r="L40" s="10">
        <v>0</v>
      </c>
      <c r="M40" s="10">
        <f>'sep 2022'!M40+'Oct 2022'!L40</f>
        <v>0</v>
      </c>
      <c r="N40" s="10">
        <f t="shared" si="1"/>
        <v>69.3</v>
      </c>
      <c r="O40" s="11">
        <f>'sep 2022'!T40</f>
        <v>0</v>
      </c>
      <c r="P40" s="67">
        <v>12.5</v>
      </c>
      <c r="Q40" s="10">
        <f>'sep 2022'!Q40+'Oct 2022'!P40</f>
        <v>12.5</v>
      </c>
      <c r="R40" s="10">
        <v>0</v>
      </c>
      <c r="S40" s="10">
        <f>'sep 2022'!S40+'Oct 2022'!R40</f>
        <v>0</v>
      </c>
      <c r="T40" s="11">
        <f t="shared" si="2"/>
        <v>12.5</v>
      </c>
      <c r="U40" s="11">
        <f t="shared" si="3"/>
        <v>13949.208000000002</v>
      </c>
      <c r="V40" s="12"/>
      <c r="W40" s="12"/>
    </row>
    <row r="41" spans="1:23" ht="42.75" customHeight="1">
      <c r="A41" s="8">
        <v>26</v>
      </c>
      <c r="B41" s="9" t="s">
        <v>47</v>
      </c>
      <c r="C41" s="10">
        <f>'sep 2022'!H41</f>
        <v>10494.065999999993</v>
      </c>
      <c r="D41" s="10">
        <f>8.79+4.85+14.48</f>
        <v>28.119999999999997</v>
      </c>
      <c r="E41" s="10">
        <f>'sep 2022'!E41+'Oct 2022'!D41</f>
        <v>412.47</v>
      </c>
      <c r="F41" s="10">
        <v>0</v>
      </c>
      <c r="G41" s="10">
        <f>'sep 2022'!G41+'Oct 2022'!F41</f>
        <v>0</v>
      </c>
      <c r="H41" s="10">
        <f t="shared" si="0"/>
        <v>10522.185999999994</v>
      </c>
      <c r="I41" s="10">
        <f>'sep 2022'!N41</f>
        <v>0</v>
      </c>
      <c r="J41" s="10">
        <v>0</v>
      </c>
      <c r="K41" s="10">
        <f>'sep 2022'!K41+'Oct 2022'!J41</f>
        <v>0</v>
      </c>
      <c r="L41" s="10">
        <v>0</v>
      </c>
      <c r="M41" s="10">
        <f>'sep 2022'!M41+'Oct 2022'!L41</f>
        <v>0</v>
      </c>
      <c r="N41" s="67">
        <f t="shared" si="1"/>
        <v>0</v>
      </c>
      <c r="O41" s="11">
        <f>'sep 2022'!T41</f>
        <v>0</v>
      </c>
      <c r="P41" s="67">
        <v>14.93</v>
      </c>
      <c r="Q41" s="10">
        <f>'sep 2022'!Q41+'Oct 2022'!P41</f>
        <v>14.93</v>
      </c>
      <c r="R41" s="10">
        <v>0</v>
      </c>
      <c r="S41" s="10">
        <f>'sep 2022'!S41+'Oct 2022'!R41</f>
        <v>0</v>
      </c>
      <c r="T41" s="11">
        <f t="shared" si="2"/>
        <v>14.93</v>
      </c>
      <c r="U41" s="11">
        <f t="shared" si="3"/>
        <v>10537.115999999995</v>
      </c>
      <c r="V41" s="12"/>
      <c r="W41" s="12"/>
    </row>
    <row r="42" spans="1:23" ht="42.75" customHeight="1">
      <c r="A42" s="8">
        <v>27</v>
      </c>
      <c r="B42" s="9" t="s">
        <v>48</v>
      </c>
      <c r="C42" s="10">
        <f>'sep 2022'!H42</f>
        <v>23914.759000000002</v>
      </c>
      <c r="D42" s="10">
        <v>6.8949999999999996</v>
      </c>
      <c r="E42" s="10">
        <f>'sep 2022'!E42+'Oct 2022'!D42</f>
        <v>47.739999999999995</v>
      </c>
      <c r="F42" s="10">
        <v>0</v>
      </c>
      <c r="G42" s="10">
        <f>'sep 2022'!G42+'Oct 2022'!F42</f>
        <v>0</v>
      </c>
      <c r="H42" s="10">
        <f t="shared" si="0"/>
        <v>23921.654000000002</v>
      </c>
      <c r="I42" s="10">
        <f>'sep 2022'!N42</f>
        <v>0</v>
      </c>
      <c r="J42" s="10">
        <v>0</v>
      </c>
      <c r="K42" s="10">
        <f>'sep 2022'!K42+'Oct 2022'!J42</f>
        <v>0</v>
      </c>
      <c r="L42" s="10">
        <v>0</v>
      </c>
      <c r="M42" s="10">
        <f>'sep 2022'!M42+'Oct 2022'!L42</f>
        <v>0</v>
      </c>
      <c r="N42" s="67">
        <f t="shared" si="1"/>
        <v>0</v>
      </c>
      <c r="O42" s="11">
        <f>'sep 2022'!T42</f>
        <v>0</v>
      </c>
      <c r="P42" s="67">
        <v>6.41</v>
      </c>
      <c r="Q42" s="10">
        <f>'sep 2022'!Q42+'Oct 2022'!P42</f>
        <v>6.41</v>
      </c>
      <c r="R42" s="10">
        <v>0</v>
      </c>
      <c r="S42" s="10">
        <f>'sep 2022'!S42+'Oct 2022'!R42</f>
        <v>0</v>
      </c>
      <c r="T42" s="11">
        <f t="shared" si="2"/>
        <v>6.41</v>
      </c>
      <c r="U42" s="11">
        <f t="shared" si="3"/>
        <v>23928.064000000002</v>
      </c>
      <c r="V42" s="12"/>
      <c r="W42" s="12"/>
    </row>
    <row r="43" spans="1:23" ht="42.75" customHeight="1">
      <c r="A43" s="8">
        <v>28</v>
      </c>
      <c r="B43" s="9" t="s">
        <v>49</v>
      </c>
      <c r="C43" s="10">
        <f>'sep 2022'!H43</f>
        <v>2369.5630000000001</v>
      </c>
      <c r="D43" s="10">
        <f>7.9+65.5</f>
        <v>73.400000000000006</v>
      </c>
      <c r="E43" s="10">
        <f>'sep 2022'!E43+'Oct 2022'!D43</f>
        <v>156.5</v>
      </c>
      <c r="F43" s="10">
        <v>0</v>
      </c>
      <c r="G43" s="10">
        <f>'sep 2022'!G43+'Oct 2022'!F43</f>
        <v>0</v>
      </c>
      <c r="H43" s="10">
        <f t="shared" si="0"/>
        <v>2442.9630000000002</v>
      </c>
      <c r="I43" s="10">
        <f>'sep 2022'!N43</f>
        <v>0</v>
      </c>
      <c r="J43" s="10">
        <v>0</v>
      </c>
      <c r="K43" s="10">
        <f>'sep 2022'!K43+'Oct 2022'!J43</f>
        <v>0</v>
      </c>
      <c r="L43" s="10">
        <v>0</v>
      </c>
      <c r="M43" s="10">
        <f>'sep 2022'!M43+'Oct 2022'!L43</f>
        <v>0</v>
      </c>
      <c r="N43" s="67">
        <f t="shared" si="1"/>
        <v>0</v>
      </c>
      <c r="O43" s="11">
        <f>'sep 2022'!T43</f>
        <v>0</v>
      </c>
      <c r="P43" s="67">
        <v>24.41</v>
      </c>
      <c r="Q43" s="10">
        <f>'sep 2022'!Q43+'Oct 2022'!P43</f>
        <v>24.41</v>
      </c>
      <c r="R43" s="10">
        <v>0</v>
      </c>
      <c r="S43" s="10">
        <f>'sep 2022'!S43+'Oct 2022'!R43</f>
        <v>0</v>
      </c>
      <c r="T43" s="11">
        <f t="shared" si="2"/>
        <v>24.41</v>
      </c>
      <c r="U43" s="11">
        <f t="shared" si="3"/>
        <v>2467.373</v>
      </c>
      <c r="V43" s="12"/>
      <c r="W43" s="12"/>
    </row>
    <row r="44" spans="1:23" s="17" customFormat="1" ht="42.75" customHeight="1">
      <c r="A44" s="14"/>
      <c r="B44" s="15" t="s">
        <v>50</v>
      </c>
      <c r="C44" s="16">
        <f>SUM(C40:C43)</f>
        <v>50646.036</v>
      </c>
      <c r="D44" s="16">
        <f t="shared" ref="D44:U44" si="13">SUM(D40:D43)</f>
        <v>108.41500000000001</v>
      </c>
      <c r="E44" s="16">
        <f t="shared" si="13"/>
        <v>699.27</v>
      </c>
      <c r="F44" s="16">
        <f t="shared" si="13"/>
        <v>0.24</v>
      </c>
      <c r="G44" s="16">
        <f t="shared" si="13"/>
        <v>0.24</v>
      </c>
      <c r="H44" s="16">
        <f t="shared" si="13"/>
        <v>50754.211000000003</v>
      </c>
      <c r="I44" s="16">
        <f t="shared" si="13"/>
        <v>37.799999999999997</v>
      </c>
      <c r="J44" s="16">
        <f t="shared" si="13"/>
        <v>31.5</v>
      </c>
      <c r="K44" s="16">
        <f t="shared" si="13"/>
        <v>69.3</v>
      </c>
      <c r="L44" s="16">
        <f t="shared" si="13"/>
        <v>0</v>
      </c>
      <c r="M44" s="16">
        <f t="shared" si="13"/>
        <v>0</v>
      </c>
      <c r="N44" s="16">
        <f t="shared" si="13"/>
        <v>69.3</v>
      </c>
      <c r="O44" s="16">
        <f t="shared" si="13"/>
        <v>0</v>
      </c>
      <c r="P44" s="16">
        <f t="shared" si="13"/>
        <v>58.25</v>
      </c>
      <c r="Q44" s="16">
        <f t="shared" si="13"/>
        <v>58.25</v>
      </c>
      <c r="R44" s="16">
        <f t="shared" si="13"/>
        <v>0</v>
      </c>
      <c r="S44" s="16">
        <f t="shared" si="13"/>
        <v>0</v>
      </c>
      <c r="T44" s="16">
        <f t="shared" si="13"/>
        <v>58.25</v>
      </c>
      <c r="U44" s="16">
        <f t="shared" si="13"/>
        <v>50881.760999999999</v>
      </c>
      <c r="V44" s="92"/>
      <c r="W44" s="92"/>
    </row>
    <row r="45" spans="1:23" ht="42.75" customHeight="1">
      <c r="A45" s="8">
        <v>29</v>
      </c>
      <c r="B45" s="9" t="s">
        <v>51</v>
      </c>
      <c r="C45" s="10">
        <f>'sep 2022'!H45</f>
        <v>14081.244999999999</v>
      </c>
      <c r="D45" s="10">
        <v>2.69</v>
      </c>
      <c r="E45" s="10">
        <f>'sep 2022'!E45+'Oct 2022'!D45</f>
        <v>129.88499999999999</v>
      </c>
      <c r="F45" s="10">
        <v>0</v>
      </c>
      <c r="G45" s="10">
        <f>'sep 2022'!G45+'Oct 2022'!F45</f>
        <v>0</v>
      </c>
      <c r="H45" s="67">
        <f>C45+D45-F45</f>
        <v>14083.934999999999</v>
      </c>
      <c r="I45" s="10">
        <f>'sep 2022'!N45</f>
        <v>6.65</v>
      </c>
      <c r="J45" s="10">
        <v>0</v>
      </c>
      <c r="K45" s="10">
        <f>'sep 2022'!K45+'Oct 2022'!J45</f>
        <v>0.02</v>
      </c>
      <c r="L45" s="10">
        <v>0</v>
      </c>
      <c r="M45" s="10">
        <f>'sep 2022'!M45+'Oct 2022'!L45</f>
        <v>0</v>
      </c>
      <c r="N45" s="67">
        <f t="shared" si="1"/>
        <v>6.65</v>
      </c>
      <c r="O45" s="11">
        <f>'sep 2022'!T45</f>
        <v>105.87000000000002</v>
      </c>
      <c r="P45" s="10">
        <v>0</v>
      </c>
      <c r="Q45" s="10">
        <f>'sep 2022'!Q45+'Oct 2022'!P45</f>
        <v>75.7</v>
      </c>
      <c r="R45" s="10">
        <v>0</v>
      </c>
      <c r="S45" s="10">
        <f>'sep 2022'!S45+'Oct 2022'!R45</f>
        <v>0</v>
      </c>
      <c r="T45" s="68">
        <f t="shared" si="2"/>
        <v>105.87000000000002</v>
      </c>
      <c r="U45" s="11">
        <f t="shared" si="3"/>
        <v>14196.455</v>
      </c>
      <c r="V45" s="115"/>
      <c r="W45" s="12"/>
    </row>
    <row r="46" spans="1:23" ht="42.75" customHeight="1">
      <c r="A46" s="8">
        <v>30</v>
      </c>
      <c r="B46" s="9" t="s">
        <v>52</v>
      </c>
      <c r="C46" s="10">
        <f>'sep 2022'!H46</f>
        <v>7304.7749999999987</v>
      </c>
      <c r="D46" s="10">
        <v>2.0299999999999998</v>
      </c>
      <c r="E46" s="10">
        <f>'sep 2022'!E46+'Oct 2022'!D46</f>
        <v>41.445</v>
      </c>
      <c r="F46" s="10">
        <v>0</v>
      </c>
      <c r="G46" s="10">
        <f>'sep 2022'!G46+'Oct 2022'!F46</f>
        <v>0</v>
      </c>
      <c r="H46" s="67">
        <f t="shared" si="0"/>
        <v>7306.8049999999985</v>
      </c>
      <c r="I46" s="10">
        <f>'sep 2022'!N46</f>
        <v>0</v>
      </c>
      <c r="J46" s="10">
        <v>0</v>
      </c>
      <c r="K46" s="10">
        <f>'sep 2022'!K46+'Oct 2022'!J46</f>
        <v>0</v>
      </c>
      <c r="L46" s="10">
        <v>0</v>
      </c>
      <c r="M46" s="10">
        <f>'sep 2022'!M46+'Oct 2022'!L46</f>
        <v>0</v>
      </c>
      <c r="N46" s="67">
        <f t="shared" si="1"/>
        <v>0</v>
      </c>
      <c r="O46" s="11">
        <f>'sep 2022'!T46</f>
        <v>7.5900000000000007</v>
      </c>
      <c r="P46" s="10">
        <v>0</v>
      </c>
      <c r="Q46" s="10">
        <f>'sep 2022'!Q46+'Oct 2022'!P46</f>
        <v>0</v>
      </c>
      <c r="R46" s="10">
        <v>0</v>
      </c>
      <c r="S46" s="10">
        <f>'sep 2022'!S46+'Oct 2022'!R46</f>
        <v>0.31</v>
      </c>
      <c r="T46" s="68">
        <f t="shared" si="2"/>
        <v>7.5900000000000007</v>
      </c>
      <c r="U46" s="11">
        <f t="shared" si="3"/>
        <v>7314.3949999999986</v>
      </c>
      <c r="V46" s="115"/>
      <c r="W46" s="12"/>
    </row>
    <row r="47" spans="1:23" ht="42.75" customHeight="1">
      <c r="A47" s="8">
        <v>31</v>
      </c>
      <c r="B47" s="9" t="s">
        <v>53</v>
      </c>
      <c r="C47" s="10">
        <f>'sep 2022'!H47</f>
        <v>12303.320000000002</v>
      </c>
      <c r="D47" s="10">
        <v>0</v>
      </c>
      <c r="E47" s="10">
        <f>'sep 2022'!E47+'Oct 2022'!D47</f>
        <v>10.06</v>
      </c>
      <c r="F47" s="10">
        <v>0</v>
      </c>
      <c r="G47" s="10">
        <f>'sep 2022'!G47+'Oct 2022'!F47</f>
        <v>0</v>
      </c>
      <c r="H47" s="67">
        <f t="shared" si="0"/>
        <v>12303.320000000002</v>
      </c>
      <c r="I47" s="10">
        <f>'sep 2022'!N47</f>
        <v>1.2999999999999998</v>
      </c>
      <c r="J47" s="10">
        <v>0</v>
      </c>
      <c r="K47" s="10">
        <f>'sep 2022'!K47+'Oct 2022'!J47</f>
        <v>0</v>
      </c>
      <c r="L47" s="10">
        <v>0</v>
      </c>
      <c r="M47" s="10">
        <f>'sep 2022'!M47+'Oct 2022'!L47</f>
        <v>0</v>
      </c>
      <c r="N47" s="67">
        <f t="shared" si="1"/>
        <v>1.2999999999999998</v>
      </c>
      <c r="O47" s="11">
        <f>'sep 2022'!T47</f>
        <v>86.18</v>
      </c>
      <c r="P47" s="10">
        <v>0</v>
      </c>
      <c r="Q47" s="10">
        <f>'sep 2022'!Q47+'Oct 2022'!P47</f>
        <v>0</v>
      </c>
      <c r="R47" s="10">
        <v>0</v>
      </c>
      <c r="S47" s="10">
        <f>'sep 2022'!S47+'Oct 2022'!R47</f>
        <v>0.1</v>
      </c>
      <c r="T47" s="68">
        <f t="shared" si="2"/>
        <v>86.18</v>
      </c>
      <c r="U47" s="11">
        <f t="shared" si="3"/>
        <v>12390.800000000001</v>
      </c>
      <c r="V47" s="115"/>
      <c r="W47" s="12"/>
    </row>
    <row r="48" spans="1:23" ht="42.75" customHeight="1">
      <c r="A48" s="8">
        <v>32</v>
      </c>
      <c r="B48" s="9" t="s">
        <v>54</v>
      </c>
      <c r="C48" s="10">
        <f>'sep 2022'!H48</f>
        <v>11101.292000000009</v>
      </c>
      <c r="D48" s="10">
        <v>1.53</v>
      </c>
      <c r="E48" s="10">
        <f>'sep 2022'!E48+'Oct 2022'!D48</f>
        <v>12.629999999999999</v>
      </c>
      <c r="F48" s="10">
        <v>0</v>
      </c>
      <c r="G48" s="10">
        <f>'sep 2022'!G48+'Oct 2022'!F48</f>
        <v>0</v>
      </c>
      <c r="H48" s="67">
        <f t="shared" si="0"/>
        <v>11102.822000000009</v>
      </c>
      <c r="I48" s="10">
        <f>'sep 2022'!N48</f>
        <v>0</v>
      </c>
      <c r="J48" s="10">
        <v>0</v>
      </c>
      <c r="K48" s="10">
        <f>'sep 2022'!K48+'Oct 2022'!J48</f>
        <v>0</v>
      </c>
      <c r="L48" s="10">
        <v>0</v>
      </c>
      <c r="M48" s="10">
        <f>'sep 2022'!M48+'Oct 2022'!L48</f>
        <v>0</v>
      </c>
      <c r="N48" s="67">
        <f t="shared" si="1"/>
        <v>0</v>
      </c>
      <c r="O48" s="11">
        <f>'sep 2022'!T48</f>
        <v>30.53</v>
      </c>
      <c r="P48" s="10">
        <v>0</v>
      </c>
      <c r="Q48" s="10">
        <f>'sep 2022'!Q48+'Oct 2022'!P48</f>
        <v>0.53</v>
      </c>
      <c r="R48" s="10">
        <v>0</v>
      </c>
      <c r="S48" s="10">
        <f>'sep 2022'!S48+'Oct 2022'!R48</f>
        <v>0</v>
      </c>
      <c r="T48" s="68">
        <f t="shared" si="2"/>
        <v>30.53</v>
      </c>
      <c r="U48" s="11">
        <f t="shared" si="3"/>
        <v>11133.35200000001</v>
      </c>
      <c r="V48" s="115"/>
      <c r="W48" s="12"/>
    </row>
    <row r="49" spans="1:23" s="17" customFormat="1" ht="42.75" customHeight="1">
      <c r="A49" s="14"/>
      <c r="B49" s="97" t="s">
        <v>55</v>
      </c>
      <c r="C49" s="16">
        <f>SUM(C45:C48)</f>
        <v>44790.632000000005</v>
      </c>
      <c r="D49" s="16">
        <f t="shared" ref="D49:U49" si="14">SUM(D45:D48)</f>
        <v>6.25</v>
      </c>
      <c r="E49" s="16">
        <f t="shared" si="14"/>
        <v>194.01999999999998</v>
      </c>
      <c r="F49" s="16">
        <f t="shared" si="14"/>
        <v>0</v>
      </c>
      <c r="G49" s="16">
        <f t="shared" si="14"/>
        <v>0</v>
      </c>
      <c r="H49" s="16">
        <f t="shared" si="14"/>
        <v>44796.882000000005</v>
      </c>
      <c r="I49" s="16">
        <f t="shared" si="14"/>
        <v>7.95</v>
      </c>
      <c r="J49" s="16">
        <f t="shared" si="14"/>
        <v>0</v>
      </c>
      <c r="K49" s="16">
        <f t="shared" si="14"/>
        <v>0.02</v>
      </c>
      <c r="L49" s="16">
        <f t="shared" si="14"/>
        <v>0</v>
      </c>
      <c r="M49" s="16">
        <f t="shared" si="14"/>
        <v>0</v>
      </c>
      <c r="N49" s="16">
        <f t="shared" si="14"/>
        <v>7.95</v>
      </c>
      <c r="O49" s="16">
        <f t="shared" si="14"/>
        <v>230.17000000000004</v>
      </c>
      <c r="P49" s="16">
        <f t="shared" si="14"/>
        <v>0</v>
      </c>
      <c r="Q49" s="16">
        <f t="shared" si="14"/>
        <v>76.23</v>
      </c>
      <c r="R49" s="16">
        <f t="shared" si="14"/>
        <v>0</v>
      </c>
      <c r="S49" s="16">
        <f t="shared" si="14"/>
        <v>0.41000000000000003</v>
      </c>
      <c r="T49" s="16">
        <f t="shared" si="14"/>
        <v>230.17000000000004</v>
      </c>
      <c r="U49" s="16">
        <f t="shared" si="14"/>
        <v>45035.002000000008</v>
      </c>
      <c r="V49" s="92"/>
      <c r="W49" s="92"/>
    </row>
    <row r="50" spans="1:23" s="17" customFormat="1" ht="42.75" customHeight="1">
      <c r="A50" s="14"/>
      <c r="B50" s="15" t="s">
        <v>56</v>
      </c>
      <c r="C50" s="16">
        <f>C49+C44</f>
        <v>95436.668000000005</v>
      </c>
      <c r="D50" s="16">
        <f t="shared" ref="D50:U50" si="15">D49+D44</f>
        <v>114.66500000000001</v>
      </c>
      <c r="E50" s="16">
        <f t="shared" si="15"/>
        <v>893.29</v>
      </c>
      <c r="F50" s="16">
        <f t="shared" si="15"/>
        <v>0.24</v>
      </c>
      <c r="G50" s="16">
        <f t="shared" si="15"/>
        <v>0.24</v>
      </c>
      <c r="H50" s="16">
        <f>H49+H44</f>
        <v>95551.093000000008</v>
      </c>
      <c r="I50" s="16">
        <f t="shared" si="15"/>
        <v>45.75</v>
      </c>
      <c r="J50" s="16">
        <f t="shared" si="15"/>
        <v>31.5</v>
      </c>
      <c r="K50" s="16">
        <f t="shared" si="15"/>
        <v>69.319999999999993</v>
      </c>
      <c r="L50" s="16">
        <f t="shared" si="15"/>
        <v>0</v>
      </c>
      <c r="M50" s="16">
        <f t="shared" si="15"/>
        <v>0</v>
      </c>
      <c r="N50" s="16">
        <f t="shared" si="15"/>
        <v>77.25</v>
      </c>
      <c r="O50" s="16">
        <f t="shared" si="15"/>
        <v>230.17000000000004</v>
      </c>
      <c r="P50" s="16">
        <f t="shared" si="15"/>
        <v>58.25</v>
      </c>
      <c r="Q50" s="16">
        <f t="shared" si="15"/>
        <v>134.48000000000002</v>
      </c>
      <c r="R50" s="16">
        <f t="shared" si="15"/>
        <v>0</v>
      </c>
      <c r="S50" s="16">
        <f t="shared" si="15"/>
        <v>0.41000000000000003</v>
      </c>
      <c r="T50" s="16">
        <f t="shared" si="15"/>
        <v>288.42000000000007</v>
      </c>
      <c r="U50" s="16">
        <f t="shared" si="15"/>
        <v>95916.763000000006</v>
      </c>
      <c r="V50" s="92"/>
      <c r="W50" s="92"/>
    </row>
    <row r="51" spans="1:23" s="17" customFormat="1" ht="42.75" customHeight="1">
      <c r="A51" s="14"/>
      <c r="B51" s="15" t="s">
        <v>57</v>
      </c>
      <c r="C51" s="16">
        <f>C50+C39+C25</f>
        <v>172911.96</v>
      </c>
      <c r="D51" s="16">
        <f t="shared" ref="D51:U51" si="16">D50+D39+D25</f>
        <v>179.327</v>
      </c>
      <c r="E51" s="16">
        <f t="shared" si="16"/>
        <v>1650.4369999999999</v>
      </c>
      <c r="F51" s="16">
        <f t="shared" si="16"/>
        <v>307.53000000000003</v>
      </c>
      <c r="G51" s="16">
        <f t="shared" si="16"/>
        <v>724.4</v>
      </c>
      <c r="H51" s="58">
        <f t="shared" si="16"/>
        <v>172783.75699999998</v>
      </c>
      <c r="I51" s="16">
        <f t="shared" si="16"/>
        <v>2572.1020000000003</v>
      </c>
      <c r="J51" s="16">
        <f t="shared" si="16"/>
        <v>45.347999999999999</v>
      </c>
      <c r="K51" s="16">
        <f t="shared" si="16"/>
        <v>572.81700000000001</v>
      </c>
      <c r="L51" s="16">
        <f t="shared" si="16"/>
        <v>0</v>
      </c>
      <c r="M51" s="16">
        <f t="shared" si="16"/>
        <v>2.4500000000000002</v>
      </c>
      <c r="N51" s="58">
        <f t="shared" si="16"/>
        <v>2617.4500000000003</v>
      </c>
      <c r="O51" s="16">
        <f t="shared" si="16"/>
        <v>6985.4440000000004</v>
      </c>
      <c r="P51" s="16">
        <f t="shared" si="16"/>
        <v>557.78</v>
      </c>
      <c r="Q51" s="16">
        <f t="shared" si="16"/>
        <v>2354.7600000000002</v>
      </c>
      <c r="R51" s="16">
        <f t="shared" si="16"/>
        <v>0</v>
      </c>
      <c r="S51" s="16">
        <f t="shared" si="16"/>
        <v>144.16999999999999</v>
      </c>
      <c r="T51" s="58">
        <f t="shared" si="16"/>
        <v>7543.2240000000002</v>
      </c>
      <c r="U51" s="16">
        <f t="shared" si="16"/>
        <v>182944.43100000001</v>
      </c>
      <c r="V51" s="92"/>
      <c r="W51" s="92"/>
    </row>
    <row r="52" spans="1:23" s="23" customFormat="1" ht="42.75" hidden="1" customHeight="1">
      <c r="A52" s="19"/>
      <c r="B52" s="20"/>
      <c r="C52" s="10">
        <f>'sep 2022'!H52</f>
        <v>0</v>
      </c>
      <c r="D52" s="21"/>
      <c r="E52" s="10">
        <f>'sep 2022'!E52+'Oct 2022'!D52</f>
        <v>0</v>
      </c>
      <c r="F52" s="21"/>
      <c r="G52" s="10">
        <f>'sep 2022'!G52+'Oct 2022'!F52</f>
        <v>0</v>
      </c>
      <c r="H52" s="10">
        <f t="shared" si="0"/>
        <v>0</v>
      </c>
      <c r="I52" s="10">
        <f>'sep 2022'!N52</f>
        <v>0</v>
      </c>
      <c r="J52" s="21"/>
      <c r="K52" s="10">
        <f>'sep 2022'!K52+'Oct 2022'!J52</f>
        <v>0</v>
      </c>
      <c r="L52" s="21"/>
      <c r="M52" s="10">
        <f>'sep 2022'!M52+'Oct 2022'!L52</f>
        <v>0</v>
      </c>
      <c r="N52" s="21"/>
      <c r="O52" s="21"/>
      <c r="P52" s="21"/>
      <c r="Q52" s="10">
        <f>'sep 2022'!Q52+'Oct 2022'!P52</f>
        <v>0</v>
      </c>
      <c r="R52" s="21"/>
      <c r="S52" s="10">
        <f>'sep 2022'!S52+'Oct 2022'!R52</f>
        <v>0</v>
      </c>
      <c r="T52" s="21"/>
      <c r="U52" s="21"/>
      <c r="V52" s="21"/>
      <c r="W52" s="21"/>
    </row>
    <row r="53" spans="1:23" s="23" customFormat="1" hidden="1">
      <c r="A53" s="19"/>
      <c r="B53" s="20"/>
      <c r="C53" s="10">
        <f>'sep 2022'!H53</f>
        <v>0</v>
      </c>
      <c r="D53" s="21"/>
      <c r="E53" s="10">
        <f>'sep 2022'!E53+'Oct 2022'!D53</f>
        <v>0</v>
      </c>
      <c r="F53" s="21"/>
      <c r="G53" s="10">
        <f>'sep 2022'!G53+'Oct 2022'!F53</f>
        <v>0</v>
      </c>
      <c r="H53" s="10">
        <f t="shared" si="0"/>
        <v>0</v>
      </c>
      <c r="I53" s="10">
        <f>'sep 2022'!N53</f>
        <v>0</v>
      </c>
      <c r="J53" s="21"/>
      <c r="K53" s="10">
        <f>'sep 2022'!K53+'Oct 2022'!J53</f>
        <v>0</v>
      </c>
      <c r="L53" s="21"/>
      <c r="M53" s="10">
        <f>'sep 2022'!M53+'Oct 2022'!L53</f>
        <v>0</v>
      </c>
      <c r="N53" s="21"/>
      <c r="O53" s="21"/>
      <c r="P53" s="24"/>
      <c r="Q53" s="10">
        <f>'sep 2022'!Q53+'Oct 2022'!P53</f>
        <v>0</v>
      </c>
      <c r="R53" s="21"/>
      <c r="S53" s="10">
        <f>'sep 2022'!S53+'Oct 2022'!R53</f>
        <v>0</v>
      </c>
      <c r="T53" s="25"/>
      <c r="U53" s="21"/>
      <c r="V53" s="21"/>
      <c r="W53" s="21"/>
    </row>
    <row r="54" spans="1:23" s="23" customFormat="1">
      <c r="A54" s="19"/>
      <c r="B54" s="20"/>
      <c r="C54" s="21"/>
      <c r="D54" s="21"/>
      <c r="E54" s="22"/>
      <c r="F54" s="21"/>
      <c r="G54" s="21"/>
      <c r="H54" s="21"/>
      <c r="I54" s="24"/>
      <c r="J54" s="21"/>
      <c r="K54" s="22"/>
      <c r="L54" s="21"/>
      <c r="M54" s="24"/>
      <c r="N54" s="21" t="s">
        <v>66</v>
      </c>
      <c r="O54" s="21"/>
      <c r="P54" s="24"/>
      <c r="Q54" s="22"/>
      <c r="R54" s="21"/>
      <c r="S54" s="24"/>
      <c r="T54" s="25"/>
      <c r="U54" s="21"/>
      <c r="V54" s="21"/>
      <c r="W54" s="21"/>
    </row>
    <row r="55" spans="1:23" s="23" customFormat="1">
      <c r="A55" s="19"/>
      <c r="B55" s="20"/>
      <c r="C55" s="21"/>
      <c r="D55" s="21"/>
      <c r="E55" s="22"/>
      <c r="F55" s="21"/>
      <c r="G55" s="21"/>
      <c r="H55" s="21"/>
      <c r="I55" s="24"/>
      <c r="J55" s="21"/>
      <c r="K55" s="22"/>
      <c r="L55" s="21"/>
      <c r="M55" s="24"/>
      <c r="N55" s="21"/>
      <c r="O55" s="21"/>
      <c r="P55" s="24"/>
      <c r="Q55" s="22"/>
      <c r="R55" s="21"/>
      <c r="S55" s="24"/>
      <c r="T55" s="25"/>
      <c r="U55" s="21"/>
      <c r="V55" s="21"/>
      <c r="W55" s="21"/>
    </row>
    <row r="56" spans="1:23" s="17" customFormat="1" ht="57" customHeight="1">
      <c r="A56" s="26"/>
      <c r="B56" s="27"/>
      <c r="C56" s="28"/>
      <c r="D56" s="112" t="s">
        <v>58</v>
      </c>
      <c r="E56" s="112"/>
      <c r="F56" s="112"/>
      <c r="G56" s="112"/>
      <c r="H56" s="92">
        <f>D51+J51+P51-F51-L51-R51</f>
        <v>474.9249999999999</v>
      </c>
      <c r="I56" s="92"/>
      <c r="J56" s="92"/>
      <c r="K56" s="92"/>
      <c r="L56" s="92"/>
      <c r="M56" s="92"/>
      <c r="N56" s="92"/>
      <c r="O56" s="29"/>
      <c r="P56" s="92"/>
      <c r="Q56" s="92"/>
      <c r="R56" s="92"/>
      <c r="S56" s="92"/>
      <c r="T56" s="92"/>
      <c r="U56" s="93"/>
      <c r="V56" s="93"/>
      <c r="W56" s="93"/>
    </row>
    <row r="57" spans="1:23" s="17" customFormat="1" ht="66" customHeight="1">
      <c r="A57" s="26"/>
      <c r="B57" s="27"/>
      <c r="C57" s="92"/>
      <c r="D57" s="112" t="s">
        <v>59</v>
      </c>
      <c r="E57" s="112"/>
      <c r="F57" s="112"/>
      <c r="G57" s="112"/>
      <c r="H57" s="92">
        <f>E51+K51+Q51-G51-M51-S51</f>
        <v>3706.9940000000001</v>
      </c>
      <c r="I57" s="92"/>
      <c r="J57" s="92"/>
      <c r="K57" s="92"/>
      <c r="L57" s="92"/>
      <c r="M57" s="92"/>
      <c r="N57" s="92"/>
      <c r="O57" s="29"/>
      <c r="P57" s="92"/>
      <c r="Q57" s="92"/>
      <c r="R57" s="92"/>
      <c r="S57" s="92"/>
      <c r="T57" s="92"/>
      <c r="U57" s="93"/>
      <c r="V57" s="93"/>
      <c r="W57" s="93"/>
    </row>
    <row r="58" spans="1:23" ht="54" customHeight="1">
      <c r="C58" s="28"/>
      <c r="D58" s="112" t="s">
        <v>60</v>
      </c>
      <c r="E58" s="112"/>
      <c r="F58" s="112"/>
      <c r="G58" s="112"/>
      <c r="H58" s="92">
        <f>H51+N51+T51</f>
        <v>182944.43099999998</v>
      </c>
      <c r="I58" s="31"/>
      <c r="J58" s="31"/>
      <c r="K58" s="31"/>
      <c r="L58" s="32"/>
      <c r="M58" s="32"/>
      <c r="N58" s="45" t="e">
        <f>#REF!+'Oct 2022'!H56</f>
        <v>#REF!</v>
      </c>
      <c r="O58" s="12"/>
      <c r="P58" s="31"/>
      <c r="Q58" s="31"/>
      <c r="T58" s="41"/>
      <c r="U58" s="12"/>
      <c r="V58" s="12"/>
      <c r="W58" s="12"/>
    </row>
    <row r="59" spans="1:23" ht="42.75" customHeight="1">
      <c r="C59" s="93"/>
      <c r="D59" s="93"/>
      <c r="E59" s="1"/>
      <c r="H59" s="31"/>
      <c r="J59" s="33" t="e">
        <f>#REF!+'Oct 2022'!H56</f>
        <v>#REF!</v>
      </c>
      <c r="K59" s="31"/>
      <c r="L59" s="33" t="e">
        <f>#REF!+'Oct 2022'!H56</f>
        <v>#REF!</v>
      </c>
      <c r="M59" s="31"/>
      <c r="O59" s="12"/>
    </row>
    <row r="60" spans="1:23" s="17" customFormat="1" ht="78.75" customHeight="1">
      <c r="B60" s="114" t="s">
        <v>61</v>
      </c>
      <c r="C60" s="114"/>
      <c r="D60" s="114"/>
      <c r="E60" s="114"/>
      <c r="F60" s="114"/>
      <c r="H60" s="1"/>
      <c r="I60" s="34" t="e">
        <f>#REF!+'Oct 2022'!H56</f>
        <v>#REF!</v>
      </c>
      <c r="J60" s="1"/>
      <c r="K60" s="31"/>
      <c r="L60" s="31"/>
      <c r="M60" s="33">
        <f>'March 2022'!H58+'Oct 2022'!H56</f>
        <v>179815.50199999995</v>
      </c>
      <c r="Q60" s="114" t="s">
        <v>62</v>
      </c>
      <c r="R60" s="114"/>
      <c r="S60" s="114"/>
      <c r="T60" s="114"/>
      <c r="U60" s="114"/>
    </row>
    <row r="61" spans="1:23" s="17" customFormat="1" ht="45.75" customHeight="1">
      <c r="B61" s="114" t="s">
        <v>63</v>
      </c>
      <c r="C61" s="114"/>
      <c r="D61" s="114"/>
      <c r="E61" s="114"/>
      <c r="F61" s="114"/>
      <c r="G61" s="35"/>
      <c r="H61" s="36">
        <f>'[1]feb 2021'!H58+'Oct 2022'!H56</f>
        <v>177312.568</v>
      </c>
      <c r="I61" s="35"/>
      <c r="J61" s="28"/>
      <c r="K61" s="31"/>
      <c r="L61" s="31"/>
      <c r="M61" s="31"/>
      <c r="Q61" s="114" t="s">
        <v>63</v>
      </c>
      <c r="R61" s="114"/>
      <c r="S61" s="114"/>
      <c r="T61" s="114"/>
      <c r="U61" s="114"/>
    </row>
    <row r="62" spans="1:23" s="17" customFormat="1">
      <c r="B62" s="27"/>
      <c r="F62" s="37"/>
      <c r="I62" s="35"/>
      <c r="J62" s="37"/>
      <c r="Q62" s="93"/>
      <c r="R62" s="93"/>
      <c r="S62" s="2"/>
      <c r="T62" s="93"/>
      <c r="U62" s="93"/>
      <c r="V62" s="93"/>
      <c r="W62" s="93"/>
    </row>
    <row r="63" spans="1:23" s="17" customFormat="1" ht="61.5" customHeight="1">
      <c r="B63" s="27"/>
      <c r="G63" s="36">
        <f>'[1]May 2020'!H56+'Oct 2022'!H56</f>
        <v>175205.886</v>
      </c>
      <c r="J63" s="113" t="s">
        <v>64</v>
      </c>
      <c r="K63" s="113"/>
      <c r="L63" s="113"/>
      <c r="O63" s="93"/>
      <c r="S63" s="37"/>
      <c r="U63" s="93"/>
      <c r="V63" s="93"/>
      <c r="W63" s="93"/>
    </row>
    <row r="64" spans="1:23" s="17" customFormat="1" ht="58.5" customHeight="1">
      <c r="B64" s="27"/>
      <c r="H64" s="1"/>
      <c r="J64" s="113" t="s">
        <v>65</v>
      </c>
      <c r="K64" s="113"/>
      <c r="L64" s="113"/>
      <c r="O64" s="93"/>
      <c r="S64" s="37"/>
      <c r="U64" s="93"/>
      <c r="V64" s="93"/>
      <c r="W64" s="93"/>
    </row>
    <row r="66" spans="2:23">
      <c r="G66" s="31"/>
      <c r="H66" s="33" t="e">
        <f>#REF!+'Oct 2022'!H56</f>
        <v>#REF!</v>
      </c>
    </row>
    <row r="67" spans="2:23">
      <c r="H67" s="31"/>
      <c r="J67" s="31"/>
    </row>
    <row r="69" spans="2:23">
      <c r="B69" s="3"/>
      <c r="G69" s="38"/>
      <c r="O69" s="3"/>
      <c r="U69" s="3"/>
      <c r="V69" s="3"/>
      <c r="W69" s="3"/>
    </row>
  </sheetData>
  <mergeCells count="31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V26:V27"/>
    <mergeCell ref="V45:V48"/>
    <mergeCell ref="H5:H6"/>
    <mergeCell ref="I5:I6"/>
    <mergeCell ref="J5:K5"/>
    <mergeCell ref="L5:M5"/>
    <mergeCell ref="N5:N6"/>
    <mergeCell ref="O5:O6"/>
    <mergeCell ref="Q60:U60"/>
    <mergeCell ref="B61:F61"/>
    <mergeCell ref="Q61:U61"/>
    <mergeCell ref="P5:Q5"/>
    <mergeCell ref="R5:S5"/>
    <mergeCell ref="T5:T6"/>
    <mergeCell ref="U5:U6"/>
    <mergeCell ref="J63:L63"/>
    <mergeCell ref="J64:L64"/>
    <mergeCell ref="D56:G56"/>
    <mergeCell ref="D57:G57"/>
    <mergeCell ref="D58:G58"/>
    <mergeCell ref="B60:F60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0" fitToHeight="0" orientation="landscape" r:id="rId1"/>
  <rowBreaks count="1" manualBreakCount="1">
    <brk id="6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9"/>
  <sheetViews>
    <sheetView topLeftCell="K1" zoomScale="38" zoomScaleNormal="38" zoomScaleSheetLayoutView="25" workbookViewId="0">
      <pane ySplit="6" topLeftCell="A16" activePane="bottomLeft" state="frozen"/>
      <selection pane="bottomLeft" activeCell="E51" sqref="E51"/>
    </sheetView>
  </sheetViews>
  <sheetFormatPr defaultRowHeight="33"/>
  <cols>
    <col min="1" max="1" width="16.7109375" style="3" customWidth="1"/>
    <col min="2" max="2" width="45.5703125" style="30" customWidth="1"/>
    <col min="3" max="3" width="36.5703125" style="3" customWidth="1"/>
    <col min="4" max="4" width="28.140625" style="3" customWidth="1"/>
    <col min="5" max="5" width="40.28515625" style="3" customWidth="1"/>
    <col min="6" max="6" width="32.42578125" style="3" customWidth="1"/>
    <col min="7" max="7" width="28.140625" style="3" customWidth="1"/>
    <col min="8" max="8" width="41.85546875" style="3" customWidth="1"/>
    <col min="9" max="9" width="29.5703125" style="3" customWidth="1"/>
    <col min="10" max="10" width="39.42578125" style="3" customWidth="1"/>
    <col min="11" max="11" width="28.140625" style="3" customWidth="1"/>
    <col min="12" max="12" width="36.7109375" style="3" customWidth="1"/>
    <col min="13" max="13" width="30.140625" style="3" customWidth="1"/>
    <col min="14" max="14" width="28.140625" style="3" customWidth="1"/>
    <col min="15" max="15" width="47.28515625" style="5" customWidth="1"/>
    <col min="16" max="16" width="32.7109375" style="3" customWidth="1"/>
    <col min="17" max="17" width="34.5703125" style="3" customWidth="1"/>
    <col min="18" max="18" width="36" style="3" customWidth="1"/>
    <col min="19" max="19" width="28.140625" style="6" customWidth="1"/>
    <col min="20" max="20" width="28.140625" style="3" customWidth="1"/>
    <col min="21" max="21" width="36.7109375" style="5" customWidth="1"/>
    <col min="22" max="22" width="41.42578125" style="5" customWidth="1"/>
    <col min="23" max="23" width="26" style="5" customWidth="1"/>
    <col min="24" max="16384" width="9.140625" style="3"/>
  </cols>
  <sheetData>
    <row r="1" spans="1:183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2"/>
      <c r="W1" s="2"/>
    </row>
    <row r="2" spans="1:183" ht="7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2"/>
      <c r="W2" s="2"/>
    </row>
    <row r="3" spans="1:183" ht="35.25" customHeight="1">
      <c r="A3" s="110" t="s">
        <v>82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2"/>
      <c r="W3" s="2"/>
    </row>
    <row r="4" spans="1:183" s="6" customFormat="1" ht="32.25" customHeight="1">
      <c r="A4" s="110" t="s">
        <v>1</v>
      </c>
      <c r="B4" s="110" t="s">
        <v>2</v>
      </c>
      <c r="C4" s="110" t="s">
        <v>3</v>
      </c>
      <c r="D4" s="110"/>
      <c r="E4" s="110"/>
      <c r="F4" s="110"/>
      <c r="G4" s="110"/>
      <c r="H4" s="110"/>
      <c r="I4" s="110" t="s">
        <v>4</v>
      </c>
      <c r="J4" s="111"/>
      <c r="K4" s="111"/>
      <c r="L4" s="111"/>
      <c r="M4" s="111"/>
      <c r="N4" s="111"/>
      <c r="O4" s="110" t="s">
        <v>5</v>
      </c>
      <c r="P4" s="111"/>
      <c r="Q4" s="111"/>
      <c r="R4" s="111"/>
      <c r="S4" s="111"/>
      <c r="T4" s="111"/>
      <c r="U4" s="4"/>
      <c r="V4" s="5"/>
      <c r="W4" s="5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</row>
    <row r="5" spans="1:183" s="6" customFormat="1" ht="41.25" customHeight="1">
      <c r="A5" s="110"/>
      <c r="B5" s="110"/>
      <c r="C5" s="110" t="s">
        <v>6</v>
      </c>
      <c r="D5" s="110" t="s">
        <v>7</v>
      </c>
      <c r="E5" s="110"/>
      <c r="F5" s="110" t="s">
        <v>8</v>
      </c>
      <c r="G5" s="110"/>
      <c r="H5" s="110" t="s">
        <v>9</v>
      </c>
      <c r="I5" s="110" t="s">
        <v>6</v>
      </c>
      <c r="J5" s="110" t="s">
        <v>7</v>
      </c>
      <c r="K5" s="110"/>
      <c r="L5" s="110" t="s">
        <v>8</v>
      </c>
      <c r="M5" s="110"/>
      <c r="N5" s="110" t="s">
        <v>9</v>
      </c>
      <c r="O5" s="110" t="s">
        <v>10</v>
      </c>
      <c r="P5" s="110" t="s">
        <v>7</v>
      </c>
      <c r="Q5" s="110"/>
      <c r="R5" s="110" t="s">
        <v>8</v>
      </c>
      <c r="S5" s="110"/>
      <c r="T5" s="110" t="s">
        <v>9</v>
      </c>
      <c r="U5" s="110" t="s">
        <v>11</v>
      </c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s="6" customFormat="1" ht="60" customHeight="1">
      <c r="A6" s="110"/>
      <c r="B6" s="110"/>
      <c r="C6" s="110"/>
      <c r="D6" s="101" t="s">
        <v>12</v>
      </c>
      <c r="E6" s="101" t="s">
        <v>13</v>
      </c>
      <c r="F6" s="101" t="s">
        <v>12</v>
      </c>
      <c r="G6" s="101" t="s">
        <v>13</v>
      </c>
      <c r="H6" s="110"/>
      <c r="I6" s="110"/>
      <c r="J6" s="7" t="s">
        <v>12</v>
      </c>
      <c r="K6" s="101" t="s">
        <v>13</v>
      </c>
      <c r="L6" s="101" t="s">
        <v>12</v>
      </c>
      <c r="M6" s="101" t="s">
        <v>13</v>
      </c>
      <c r="N6" s="110"/>
      <c r="O6" s="110"/>
      <c r="P6" s="101" t="s">
        <v>12</v>
      </c>
      <c r="Q6" s="101" t="s">
        <v>13</v>
      </c>
      <c r="R6" s="101" t="s">
        <v>12</v>
      </c>
      <c r="S6" s="101" t="s">
        <v>13</v>
      </c>
      <c r="T6" s="110"/>
      <c r="U6" s="110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</row>
    <row r="7" spans="1:183" ht="42.75" customHeight="1">
      <c r="A7" s="8">
        <v>1</v>
      </c>
      <c r="B7" s="9" t="s">
        <v>14</v>
      </c>
      <c r="C7" s="10">
        <f>'Oct 2022'!H7</f>
        <v>102.47000000000065</v>
      </c>
      <c r="D7" s="10">
        <v>0</v>
      </c>
      <c r="E7" s="10">
        <f>'Oct 2022'!E7+'Nov 2022'!D7</f>
        <v>47.73</v>
      </c>
      <c r="F7" s="10">
        <v>5.5</v>
      </c>
      <c r="G7" s="10">
        <f>'Oct 2022'!G7+'Nov 2022'!F7</f>
        <v>72.3</v>
      </c>
      <c r="H7" s="72">
        <f>C7+D7-F7</f>
        <v>96.970000000000653</v>
      </c>
      <c r="I7" s="10">
        <f>'Oct 2022'!N7</f>
        <v>170.92999999999995</v>
      </c>
      <c r="J7" s="10">
        <v>2.516</v>
      </c>
      <c r="K7" s="10">
        <f>'Oct 2022'!K7+'Nov 2022'!J7</f>
        <v>42.681000000000004</v>
      </c>
      <c r="L7" s="10">
        <v>0</v>
      </c>
      <c r="M7" s="10">
        <f>'Oct 2022'!M7+'Nov 2022'!L7</f>
        <v>0.04</v>
      </c>
      <c r="N7" s="72">
        <f>I7+J7-L7</f>
        <v>173.44599999999994</v>
      </c>
      <c r="O7" s="11">
        <f>'Oct 2022'!T7</f>
        <v>284.1400000000001</v>
      </c>
      <c r="P7" s="10">
        <v>0</v>
      </c>
      <c r="Q7" s="10">
        <f>'Oct 2022'!Q7+'Nov 2022'!P7</f>
        <v>0.46</v>
      </c>
      <c r="R7" s="10">
        <v>0</v>
      </c>
      <c r="S7" s="10">
        <f>'Oct 2022'!S7+'Nov 2022'!R7</f>
        <v>0</v>
      </c>
      <c r="T7" s="82">
        <f>O7+P7-R7</f>
        <v>284.1400000000001</v>
      </c>
      <c r="U7" s="82">
        <f>H7+N7+T7</f>
        <v>554.55600000000072</v>
      </c>
      <c r="V7" s="12"/>
      <c r="W7" s="12"/>
    </row>
    <row r="8" spans="1:183" ht="42.75" customHeight="1">
      <c r="A8" s="8">
        <v>2</v>
      </c>
      <c r="B8" s="9" t="s">
        <v>15</v>
      </c>
      <c r="C8" s="10">
        <f>'Oct 2022'!H8</f>
        <v>497.70499999999987</v>
      </c>
      <c r="D8" s="10">
        <v>0.03</v>
      </c>
      <c r="E8" s="10">
        <f>'Oct 2022'!E8+'Nov 2022'!D8</f>
        <v>0.45000000000000007</v>
      </c>
      <c r="F8" s="10">
        <v>0.15</v>
      </c>
      <c r="G8" s="10">
        <f>'Oct 2022'!G8+'Nov 2022'!F8</f>
        <v>0.33999999999999997</v>
      </c>
      <c r="H8" s="72">
        <f t="shared" ref="H8:H53" si="0">C8+D8-F8</f>
        <v>497.58499999999987</v>
      </c>
      <c r="I8" s="10">
        <f>'Oct 2022'!N8</f>
        <v>129.102</v>
      </c>
      <c r="J8" s="10">
        <v>1.7370000000000001</v>
      </c>
      <c r="K8" s="10">
        <f>'Oct 2022'!K8+'Nov 2022'!J8</f>
        <v>10.809000000000001</v>
      </c>
      <c r="L8" s="10">
        <v>0</v>
      </c>
      <c r="M8" s="10">
        <f>'Oct 2022'!M8+'Nov 2022'!L8</f>
        <v>0</v>
      </c>
      <c r="N8" s="72">
        <f t="shared" ref="N8:N48" si="1">I8+J8-L8</f>
        <v>130.839</v>
      </c>
      <c r="O8" s="11">
        <f>'Oct 2022'!T8</f>
        <v>222.27000000000004</v>
      </c>
      <c r="P8" s="10">
        <v>0</v>
      </c>
      <c r="Q8" s="10">
        <f>'Oct 2022'!Q8+'Nov 2022'!P8</f>
        <v>34.629999999999995</v>
      </c>
      <c r="R8" s="10">
        <v>0</v>
      </c>
      <c r="S8" s="10">
        <f>'Oct 2022'!S8+'Nov 2022'!R8</f>
        <v>0</v>
      </c>
      <c r="T8" s="82">
        <f t="shared" ref="T8:T48" si="2">O8+P8-R8</f>
        <v>222.27000000000004</v>
      </c>
      <c r="U8" s="82">
        <f t="shared" ref="U8:U48" si="3">H8+N8+T8</f>
        <v>850.69399999999996</v>
      </c>
      <c r="V8" s="12"/>
      <c r="W8" s="12"/>
    </row>
    <row r="9" spans="1:183" ht="42.75" customHeight="1">
      <c r="A9" s="8">
        <v>3</v>
      </c>
      <c r="B9" s="9" t="s">
        <v>16</v>
      </c>
      <c r="C9" s="10">
        <f>'Oct 2022'!H9</f>
        <v>653.9599999999997</v>
      </c>
      <c r="D9" s="10">
        <v>0</v>
      </c>
      <c r="E9" s="10">
        <f>'Oct 2022'!E9+'Nov 2022'!D9</f>
        <v>0</v>
      </c>
      <c r="F9" s="10">
        <v>0</v>
      </c>
      <c r="G9" s="10">
        <f>'Oct 2022'!G9+'Nov 2022'!F9</f>
        <v>90</v>
      </c>
      <c r="H9" s="72">
        <f t="shared" si="0"/>
        <v>653.9599999999997</v>
      </c>
      <c r="I9" s="10">
        <f>'Oct 2022'!N9</f>
        <v>205.16200000000003</v>
      </c>
      <c r="J9" s="10">
        <v>2.0939999999999999</v>
      </c>
      <c r="K9" s="10">
        <f>'Oct 2022'!K9+'Nov 2022'!J9</f>
        <v>9.923</v>
      </c>
      <c r="L9" s="10">
        <v>0</v>
      </c>
      <c r="M9" s="10">
        <f>'Oct 2022'!M9+'Nov 2022'!L9</f>
        <v>0</v>
      </c>
      <c r="N9" s="72">
        <f t="shared" si="1"/>
        <v>207.25600000000003</v>
      </c>
      <c r="O9" s="68">
        <f>'Oct 2022'!T9+237.46</f>
        <v>811.34</v>
      </c>
      <c r="P9" s="10">
        <v>0</v>
      </c>
      <c r="Q9" s="10">
        <f>'Oct 2022'!Q9+'Nov 2022'!P9</f>
        <v>125.15</v>
      </c>
      <c r="R9" s="10">
        <v>0</v>
      </c>
      <c r="S9" s="10">
        <f>'Oct 2022'!S9+'Nov 2022'!R9</f>
        <v>0</v>
      </c>
      <c r="T9" s="82">
        <f t="shared" si="2"/>
        <v>811.34</v>
      </c>
      <c r="U9" s="11">
        <f t="shared" si="3"/>
        <v>1672.5559999999996</v>
      </c>
      <c r="V9" s="12">
        <v>237.46</v>
      </c>
      <c r="W9" s="12"/>
    </row>
    <row r="10" spans="1:183" ht="42.75" customHeight="1">
      <c r="A10" s="8">
        <v>4</v>
      </c>
      <c r="B10" s="13" t="s">
        <v>17</v>
      </c>
      <c r="C10" s="10">
        <f>'Oct 2022'!H10</f>
        <v>0</v>
      </c>
      <c r="D10" s="10">
        <v>0</v>
      </c>
      <c r="E10" s="10">
        <f>'Oct 2022'!E10+'Nov 2022'!D10</f>
        <v>0</v>
      </c>
      <c r="F10" s="10">
        <v>0</v>
      </c>
      <c r="G10" s="10">
        <f>'Oct 2022'!G10+'Nov 2022'!F10</f>
        <v>0</v>
      </c>
      <c r="H10" s="72">
        <f t="shared" si="0"/>
        <v>0</v>
      </c>
      <c r="I10" s="10">
        <f>'Oct 2022'!N10</f>
        <v>143.60500000000008</v>
      </c>
      <c r="J10" s="10">
        <v>0.255</v>
      </c>
      <c r="K10" s="10">
        <f>'Oct 2022'!K10+'Nov 2022'!J10</f>
        <v>1.8260000000000001</v>
      </c>
      <c r="L10" s="10">
        <v>0</v>
      </c>
      <c r="M10" s="10">
        <f>'Oct 2022'!M10+'Nov 2022'!L10</f>
        <v>0</v>
      </c>
      <c r="N10" s="72">
        <f t="shared" si="1"/>
        <v>143.86000000000007</v>
      </c>
      <c r="O10" s="11">
        <f>'Oct 2022'!T10</f>
        <v>234.24999999999997</v>
      </c>
      <c r="P10" s="10">
        <v>0.03</v>
      </c>
      <c r="Q10" s="10">
        <f>'Oct 2022'!Q10+'Nov 2022'!P10</f>
        <v>1.1100000000000001</v>
      </c>
      <c r="R10" s="10">
        <v>0</v>
      </c>
      <c r="S10" s="10">
        <f>'Oct 2022'!S10+'Nov 2022'!R10</f>
        <v>0</v>
      </c>
      <c r="T10" s="82">
        <f t="shared" si="2"/>
        <v>234.27999999999997</v>
      </c>
      <c r="U10" s="82">
        <f t="shared" si="3"/>
        <v>378.14000000000004</v>
      </c>
      <c r="V10" s="12"/>
      <c r="W10" s="12"/>
    </row>
    <row r="11" spans="1:183" s="17" customFormat="1" ht="42.75" customHeight="1">
      <c r="A11" s="14"/>
      <c r="B11" s="103" t="s">
        <v>18</v>
      </c>
      <c r="C11" s="16">
        <f>SUM(C7:C10)</f>
        <v>1254.1350000000002</v>
      </c>
      <c r="D11" s="16">
        <f t="shared" ref="D11:U11" si="4">SUM(D7:D10)</f>
        <v>0.03</v>
      </c>
      <c r="E11" s="16">
        <f t="shared" si="4"/>
        <v>48.18</v>
      </c>
      <c r="F11" s="16">
        <f t="shared" si="4"/>
        <v>5.65</v>
      </c>
      <c r="G11" s="16">
        <f t="shared" si="4"/>
        <v>162.63999999999999</v>
      </c>
      <c r="H11" s="16">
        <f t="shared" si="4"/>
        <v>1248.5150000000003</v>
      </c>
      <c r="I11" s="16">
        <f t="shared" si="4"/>
        <v>648.79899999999998</v>
      </c>
      <c r="J11" s="16">
        <f t="shared" si="4"/>
        <v>6.6019999999999994</v>
      </c>
      <c r="K11" s="16">
        <f t="shared" si="4"/>
        <v>65.239000000000004</v>
      </c>
      <c r="L11" s="16">
        <f t="shared" si="4"/>
        <v>0</v>
      </c>
      <c r="M11" s="16">
        <f t="shared" si="4"/>
        <v>0.04</v>
      </c>
      <c r="N11" s="16">
        <f t="shared" si="4"/>
        <v>655.40100000000007</v>
      </c>
      <c r="O11" s="16">
        <f t="shared" si="4"/>
        <v>1552.0000000000002</v>
      </c>
      <c r="P11" s="16">
        <f t="shared" si="4"/>
        <v>0.03</v>
      </c>
      <c r="Q11" s="16">
        <f t="shared" si="4"/>
        <v>161.35000000000002</v>
      </c>
      <c r="R11" s="16">
        <f t="shared" si="4"/>
        <v>0</v>
      </c>
      <c r="S11" s="16">
        <f t="shared" si="4"/>
        <v>0</v>
      </c>
      <c r="T11" s="16">
        <f t="shared" si="4"/>
        <v>1552.0300000000002</v>
      </c>
      <c r="U11" s="16">
        <f t="shared" si="4"/>
        <v>3455.9460000000004</v>
      </c>
      <c r="V11" s="102"/>
      <c r="W11" s="102"/>
    </row>
    <row r="12" spans="1:183" ht="42.75" customHeight="1">
      <c r="A12" s="8">
        <v>5</v>
      </c>
      <c r="B12" s="9" t="s">
        <v>19</v>
      </c>
      <c r="C12" s="10">
        <f>'Oct 2022'!H12</f>
        <v>1362.639999999999</v>
      </c>
      <c r="D12" s="10">
        <v>0</v>
      </c>
      <c r="E12" s="10">
        <f>'Oct 2022'!E12+'Nov 2022'!D12</f>
        <v>0</v>
      </c>
      <c r="F12" s="96">
        <v>319.68</v>
      </c>
      <c r="G12" s="10">
        <f>'Oct 2022'!G12+'Nov 2022'!F12</f>
        <v>610.53</v>
      </c>
      <c r="H12" s="72">
        <f t="shared" si="0"/>
        <v>1042.9599999999989</v>
      </c>
      <c r="I12" s="10">
        <f>'Oct 2022'!N12</f>
        <v>125.15300000000001</v>
      </c>
      <c r="J12" s="10">
        <v>0.31</v>
      </c>
      <c r="K12" s="10">
        <f>'Oct 2022'!K12+'Nov 2022'!J12</f>
        <v>4.2299999999999995</v>
      </c>
      <c r="L12" s="10">
        <v>0</v>
      </c>
      <c r="M12" s="10">
        <f>'Oct 2022'!M12+'Nov 2022'!L12</f>
        <v>0.4</v>
      </c>
      <c r="N12" s="72">
        <f t="shared" si="1"/>
        <v>125.46300000000001</v>
      </c>
      <c r="O12" s="11">
        <f>'Oct 2022'!T12</f>
        <v>787.78</v>
      </c>
      <c r="P12" s="10">
        <v>0</v>
      </c>
      <c r="Q12" s="10">
        <f>'Oct 2022'!Q12+'Nov 2022'!P12</f>
        <v>208.87</v>
      </c>
      <c r="R12" s="10">
        <v>0</v>
      </c>
      <c r="S12" s="10">
        <f>'Oct 2022'!S12+'Nov 2022'!R12</f>
        <v>0</v>
      </c>
      <c r="T12" s="82">
        <f t="shared" si="2"/>
        <v>787.78</v>
      </c>
      <c r="U12" s="82">
        <f t="shared" si="3"/>
        <v>1956.2029999999988</v>
      </c>
      <c r="V12" s="12"/>
      <c r="W12" s="12"/>
    </row>
    <row r="13" spans="1:183" ht="42.75" customHeight="1">
      <c r="A13" s="8">
        <v>6</v>
      </c>
      <c r="B13" s="9" t="s">
        <v>20</v>
      </c>
      <c r="C13" s="10">
        <f>'Oct 2022'!H13</f>
        <v>1023.7699999999998</v>
      </c>
      <c r="D13" s="10">
        <v>0</v>
      </c>
      <c r="E13" s="10">
        <f>'Oct 2022'!E13+'Nov 2022'!D13</f>
        <v>0</v>
      </c>
      <c r="F13" s="10">
        <v>0</v>
      </c>
      <c r="G13" s="10">
        <f>'Oct 2022'!G13+'Nov 2022'!F13</f>
        <v>0</v>
      </c>
      <c r="H13" s="72">
        <f t="shared" si="0"/>
        <v>1023.7699999999998</v>
      </c>
      <c r="I13" s="10">
        <f>'Oct 2022'!N13</f>
        <v>152.68400000000011</v>
      </c>
      <c r="J13" s="10">
        <v>0.98</v>
      </c>
      <c r="K13" s="10">
        <f>'Oct 2022'!K13+'Nov 2022'!J13</f>
        <v>6.07</v>
      </c>
      <c r="L13" s="10">
        <v>0</v>
      </c>
      <c r="M13" s="10">
        <f>'Oct 2022'!M13+'Nov 2022'!L13</f>
        <v>0.72</v>
      </c>
      <c r="N13" s="72">
        <f t="shared" si="1"/>
        <v>153.6640000000001</v>
      </c>
      <c r="O13" s="11">
        <f>'Oct 2022'!T13</f>
        <v>87.2</v>
      </c>
      <c r="P13" s="10">
        <v>0</v>
      </c>
      <c r="Q13" s="10">
        <f>'Oct 2022'!Q13+'Nov 2022'!P13</f>
        <v>0.67</v>
      </c>
      <c r="R13" s="10">
        <v>0</v>
      </c>
      <c r="S13" s="10">
        <f>'Oct 2022'!S13+'Nov 2022'!R13</f>
        <v>0</v>
      </c>
      <c r="T13" s="82">
        <f t="shared" si="2"/>
        <v>87.2</v>
      </c>
      <c r="U13" s="82">
        <f t="shared" si="3"/>
        <v>1264.6339999999998</v>
      </c>
      <c r="V13" s="12"/>
      <c r="W13" s="12"/>
    </row>
    <row r="14" spans="1:183" ht="42.75" customHeight="1">
      <c r="A14" s="8">
        <v>7</v>
      </c>
      <c r="B14" s="9" t="s">
        <v>21</v>
      </c>
      <c r="C14" s="10">
        <f>'Oct 2022'!H14</f>
        <v>2084.5799999999995</v>
      </c>
      <c r="D14" s="10">
        <v>0</v>
      </c>
      <c r="E14" s="10">
        <f>'Oct 2022'!E14+'Nov 2022'!D14</f>
        <v>0.08</v>
      </c>
      <c r="F14" s="10">
        <v>0</v>
      </c>
      <c r="G14" s="10">
        <f>'Oct 2022'!G14+'Nov 2022'!F14</f>
        <v>0</v>
      </c>
      <c r="H14" s="72">
        <f t="shared" si="0"/>
        <v>2084.5799999999995</v>
      </c>
      <c r="I14" s="10">
        <f>'Oct 2022'!N14</f>
        <v>202.28399999999996</v>
      </c>
      <c r="J14" s="10">
        <v>1.62</v>
      </c>
      <c r="K14" s="10">
        <f>'Oct 2022'!K14+'Nov 2022'!J14</f>
        <v>10.050000000000001</v>
      </c>
      <c r="L14" s="10">
        <v>0</v>
      </c>
      <c r="M14" s="10">
        <f>'Oct 2022'!M14+'Nov 2022'!L14</f>
        <v>0</v>
      </c>
      <c r="N14" s="72">
        <f t="shared" si="1"/>
        <v>203.90399999999997</v>
      </c>
      <c r="O14" s="11">
        <f>'Oct 2022'!T14</f>
        <v>403.19999999999993</v>
      </c>
      <c r="P14" s="10">
        <v>0.12</v>
      </c>
      <c r="Q14" s="10">
        <f>'Oct 2022'!Q14+'Nov 2022'!P14</f>
        <v>51.16</v>
      </c>
      <c r="R14" s="10">
        <v>0</v>
      </c>
      <c r="S14" s="10">
        <f>'Oct 2022'!S14+'Nov 2022'!R14</f>
        <v>0</v>
      </c>
      <c r="T14" s="82">
        <f t="shared" si="2"/>
        <v>403.31999999999994</v>
      </c>
      <c r="U14" s="82">
        <f t="shared" si="3"/>
        <v>2691.8039999999992</v>
      </c>
      <c r="V14" s="12"/>
      <c r="W14" s="12"/>
    </row>
    <row r="15" spans="1:183" s="17" customFormat="1" ht="42.75" customHeight="1">
      <c r="A15" s="14" t="s">
        <v>22</v>
      </c>
      <c r="B15" s="103" t="s">
        <v>23</v>
      </c>
      <c r="C15" s="16">
        <f>SUM(C12:C14)</f>
        <v>4470.989999999998</v>
      </c>
      <c r="D15" s="16">
        <f t="shared" ref="D15:U15" si="5">SUM(D12:D14)</f>
        <v>0</v>
      </c>
      <c r="E15" s="16">
        <f t="shared" si="5"/>
        <v>0.08</v>
      </c>
      <c r="F15" s="16">
        <f t="shared" si="5"/>
        <v>319.68</v>
      </c>
      <c r="G15" s="16">
        <f t="shared" si="5"/>
        <v>610.53</v>
      </c>
      <c r="H15" s="16">
        <f t="shared" si="5"/>
        <v>4151.3099999999977</v>
      </c>
      <c r="I15" s="16">
        <f t="shared" si="5"/>
        <v>480.12100000000009</v>
      </c>
      <c r="J15" s="16">
        <f t="shared" si="5"/>
        <v>2.91</v>
      </c>
      <c r="K15" s="16">
        <f t="shared" si="5"/>
        <v>20.350000000000001</v>
      </c>
      <c r="L15" s="16">
        <f t="shared" si="5"/>
        <v>0</v>
      </c>
      <c r="M15" s="16">
        <f t="shared" si="5"/>
        <v>1.1200000000000001</v>
      </c>
      <c r="N15" s="16">
        <f t="shared" si="5"/>
        <v>483.03100000000006</v>
      </c>
      <c r="O15" s="16">
        <f t="shared" si="5"/>
        <v>1278.1799999999998</v>
      </c>
      <c r="P15" s="16">
        <f t="shared" si="5"/>
        <v>0.12</v>
      </c>
      <c r="Q15" s="16">
        <f t="shared" si="5"/>
        <v>260.7</v>
      </c>
      <c r="R15" s="16">
        <f t="shared" si="5"/>
        <v>0</v>
      </c>
      <c r="S15" s="16">
        <f t="shared" si="5"/>
        <v>0</v>
      </c>
      <c r="T15" s="16">
        <f t="shared" si="5"/>
        <v>1278.3</v>
      </c>
      <c r="U15" s="16">
        <f t="shared" si="5"/>
        <v>5912.6409999999978</v>
      </c>
      <c r="V15" s="102"/>
      <c r="W15" s="102"/>
    </row>
    <row r="16" spans="1:183" ht="42.75" customHeight="1">
      <c r="A16" s="8">
        <v>8</v>
      </c>
      <c r="B16" s="9" t="s">
        <v>24</v>
      </c>
      <c r="C16" s="10">
        <f>'Oct 2022'!H16</f>
        <v>1303.811999999999</v>
      </c>
      <c r="D16" s="10">
        <v>1.4</v>
      </c>
      <c r="E16" s="10">
        <f>'Oct 2022'!E16+'Nov 2022'!D16</f>
        <v>17.979999999999997</v>
      </c>
      <c r="F16" s="96">
        <v>1.79</v>
      </c>
      <c r="G16" s="10">
        <f>'Oct 2022'!G16+'Nov 2022'!F16</f>
        <v>19.73</v>
      </c>
      <c r="H16" s="72">
        <f t="shared" si="0"/>
        <v>1303.4219999999991</v>
      </c>
      <c r="I16" s="10">
        <f>'Oct 2022'!N16</f>
        <v>112.36000000000003</v>
      </c>
      <c r="J16" s="10">
        <v>0.65</v>
      </c>
      <c r="K16" s="10">
        <f>'Oct 2022'!K16+'Nov 2022'!J16</f>
        <v>1.9900000000000002</v>
      </c>
      <c r="L16" s="10">
        <v>0</v>
      </c>
      <c r="M16" s="10">
        <f>'Oct 2022'!M16+'Nov 2022'!L16</f>
        <v>0</v>
      </c>
      <c r="N16" s="72">
        <f t="shared" si="1"/>
        <v>113.01000000000003</v>
      </c>
      <c r="O16" s="68">
        <f>'Oct 2022'!T16+1.79+82.22</f>
        <v>596.65899999999999</v>
      </c>
      <c r="P16" s="67">
        <f>0.79+89.23</f>
        <v>90.02000000000001</v>
      </c>
      <c r="Q16" s="10">
        <f>'Oct 2022'!Q16+'Nov 2022'!P16</f>
        <v>491.27</v>
      </c>
      <c r="R16" s="10">
        <v>0</v>
      </c>
      <c r="S16" s="10">
        <f>'Oct 2022'!S16+'Nov 2022'!R16</f>
        <v>0</v>
      </c>
      <c r="T16" s="11">
        <f t="shared" si="2"/>
        <v>686.67899999999997</v>
      </c>
      <c r="U16" s="11">
        <f t="shared" si="3"/>
        <v>2103.110999999999</v>
      </c>
      <c r="V16" s="12">
        <f>1.79+82.22</f>
        <v>84.01</v>
      </c>
      <c r="W16" s="12"/>
    </row>
    <row r="17" spans="1:23" ht="57.75" customHeight="1">
      <c r="A17" s="8">
        <v>9</v>
      </c>
      <c r="B17" s="9" t="s">
        <v>25</v>
      </c>
      <c r="C17" s="10">
        <f>'Oct 2022'!H17</f>
        <v>239.35399999999987</v>
      </c>
      <c r="D17" s="10">
        <v>0</v>
      </c>
      <c r="E17" s="10">
        <f>'Oct 2022'!E17+'Nov 2022'!D17</f>
        <v>39.92</v>
      </c>
      <c r="F17" s="10">
        <v>0</v>
      </c>
      <c r="G17" s="10">
        <f>'Oct 2022'!G17+'Nov 2022'!F17</f>
        <v>0</v>
      </c>
      <c r="H17" s="72">
        <f t="shared" si="0"/>
        <v>239.35399999999987</v>
      </c>
      <c r="I17" s="10">
        <f>'Oct 2022'!N17</f>
        <v>28.406999999999993</v>
      </c>
      <c r="J17" s="10">
        <v>0.06</v>
      </c>
      <c r="K17" s="10">
        <f>'Oct 2022'!K17+'Nov 2022'!J17</f>
        <v>7.379999999999999</v>
      </c>
      <c r="L17" s="10">
        <v>0</v>
      </c>
      <c r="M17" s="10">
        <f>'Oct 2022'!M17+'Nov 2022'!L17</f>
        <v>0.99</v>
      </c>
      <c r="N17" s="72">
        <f t="shared" si="1"/>
        <v>28.466999999999992</v>
      </c>
      <c r="O17" s="11">
        <f>'Oct 2022'!T17</f>
        <v>491.52100000000007</v>
      </c>
      <c r="P17" s="10">
        <v>0</v>
      </c>
      <c r="Q17" s="10">
        <f>'Oct 2022'!Q17+'Nov 2022'!P17</f>
        <v>70.81</v>
      </c>
      <c r="R17" s="10">
        <v>0</v>
      </c>
      <c r="S17" s="10">
        <f>'Oct 2022'!S17+'Nov 2022'!R17</f>
        <v>70.959999999999994</v>
      </c>
      <c r="T17" s="82">
        <f t="shared" si="2"/>
        <v>491.52100000000007</v>
      </c>
      <c r="U17" s="82">
        <f t="shared" si="3"/>
        <v>759.34199999999987</v>
      </c>
      <c r="V17" s="12"/>
      <c r="W17" s="12"/>
    </row>
    <row r="18" spans="1:23" ht="42.75" customHeight="1">
      <c r="A18" s="8">
        <v>10</v>
      </c>
      <c r="B18" s="9" t="s">
        <v>26</v>
      </c>
      <c r="C18" s="10">
        <f>'Oct 2022'!H18</f>
        <v>669.86499999999933</v>
      </c>
      <c r="D18" s="10">
        <v>0</v>
      </c>
      <c r="E18" s="10">
        <f>'Oct 2022'!E18+'Nov 2022'!D18</f>
        <v>0</v>
      </c>
      <c r="F18" s="10">
        <v>0</v>
      </c>
      <c r="G18" s="10">
        <f>'Oct 2022'!G18+'Nov 2022'!F18</f>
        <v>0</v>
      </c>
      <c r="H18" s="10">
        <f t="shared" si="0"/>
        <v>669.86499999999933</v>
      </c>
      <c r="I18" s="10">
        <f>'Oct 2022'!N18</f>
        <v>16.899999999999988</v>
      </c>
      <c r="J18" s="10">
        <f>0.35+0.6</f>
        <v>0.95</v>
      </c>
      <c r="K18" s="10">
        <f>'Oct 2022'!K18+'Nov 2022'!J18</f>
        <v>1.7799999999999998</v>
      </c>
      <c r="L18" s="10">
        <v>0</v>
      </c>
      <c r="M18" s="10">
        <f>'Oct 2022'!M18+'Nov 2022'!L18</f>
        <v>0.3</v>
      </c>
      <c r="N18" s="10">
        <f>I18+J18-L18</f>
        <v>17.849999999999987</v>
      </c>
      <c r="O18" s="11">
        <f>'Oct 2022'!T18</f>
        <v>239.708</v>
      </c>
      <c r="P18" s="10">
        <f>0.13+0.1</f>
        <v>0.23</v>
      </c>
      <c r="Q18" s="10">
        <f>'Oct 2022'!Q18+'Nov 2022'!P18</f>
        <v>45.04</v>
      </c>
      <c r="R18" s="10">
        <v>0.05</v>
      </c>
      <c r="S18" s="10">
        <f>'Oct 2022'!S18+'Nov 2022'!R18</f>
        <v>0.05</v>
      </c>
      <c r="T18" s="11">
        <f t="shared" si="2"/>
        <v>239.88799999999998</v>
      </c>
      <c r="U18" s="11">
        <f t="shared" si="3"/>
        <v>927.60299999999938</v>
      </c>
      <c r="V18" s="12"/>
      <c r="W18" s="12"/>
    </row>
    <row r="19" spans="1:23" s="17" customFormat="1" ht="42.75" customHeight="1">
      <c r="A19" s="14"/>
      <c r="B19" s="103" t="s">
        <v>27</v>
      </c>
      <c r="C19" s="16">
        <f>SUM(C16:C18)</f>
        <v>2213.0309999999981</v>
      </c>
      <c r="D19" s="16">
        <f t="shared" ref="D19:U19" si="6">SUM(D16:D18)</f>
        <v>1.4</v>
      </c>
      <c r="E19" s="16">
        <f t="shared" si="6"/>
        <v>57.9</v>
      </c>
      <c r="F19" s="16">
        <f t="shared" si="6"/>
        <v>1.79</v>
      </c>
      <c r="G19" s="16">
        <f t="shared" si="6"/>
        <v>19.73</v>
      </c>
      <c r="H19" s="16">
        <f t="shared" si="6"/>
        <v>2212.6409999999983</v>
      </c>
      <c r="I19" s="16">
        <f t="shared" si="6"/>
        <v>157.667</v>
      </c>
      <c r="J19" s="16">
        <f t="shared" si="6"/>
        <v>1.66</v>
      </c>
      <c r="K19" s="16">
        <f t="shared" si="6"/>
        <v>11.149999999999999</v>
      </c>
      <c r="L19" s="16">
        <f t="shared" si="6"/>
        <v>0</v>
      </c>
      <c r="M19" s="16">
        <f t="shared" si="6"/>
        <v>1.29</v>
      </c>
      <c r="N19" s="16">
        <f t="shared" si="6"/>
        <v>159.32700000000003</v>
      </c>
      <c r="O19" s="16">
        <f t="shared" si="6"/>
        <v>1327.8880000000001</v>
      </c>
      <c r="P19" s="16">
        <f t="shared" si="6"/>
        <v>90.250000000000014</v>
      </c>
      <c r="Q19" s="16">
        <f t="shared" si="6"/>
        <v>607.11999999999989</v>
      </c>
      <c r="R19" s="16">
        <f t="shared" si="6"/>
        <v>0.05</v>
      </c>
      <c r="S19" s="16">
        <f t="shared" si="6"/>
        <v>71.009999999999991</v>
      </c>
      <c r="T19" s="16">
        <f t="shared" si="6"/>
        <v>1418.088</v>
      </c>
      <c r="U19" s="16">
        <f t="shared" si="6"/>
        <v>3790.0559999999978</v>
      </c>
      <c r="V19" s="102"/>
      <c r="W19" s="102"/>
    </row>
    <row r="20" spans="1:23" ht="42.75" customHeight="1">
      <c r="A20" s="8">
        <v>11</v>
      </c>
      <c r="B20" s="9" t="s">
        <v>28</v>
      </c>
      <c r="C20" s="10">
        <f>'Oct 2022'!H20</f>
        <v>1024.4249999999993</v>
      </c>
      <c r="D20" s="10">
        <v>0</v>
      </c>
      <c r="E20" s="10">
        <f>'Oct 2022'!E20+'Nov 2022'!D20</f>
        <v>0.88</v>
      </c>
      <c r="F20" s="10">
        <v>0</v>
      </c>
      <c r="G20" s="10">
        <f>'Oct 2022'!G20+'Nov 2022'!F20</f>
        <v>180</v>
      </c>
      <c r="H20" s="72">
        <f t="shared" si="0"/>
        <v>1024.4249999999993</v>
      </c>
      <c r="I20" s="10">
        <f>'Oct 2022'!N20</f>
        <v>154.58100000000007</v>
      </c>
      <c r="J20" s="10">
        <v>0.3</v>
      </c>
      <c r="K20" s="10">
        <f>'Oct 2022'!K20+'Nov 2022'!J20</f>
        <v>2.58</v>
      </c>
      <c r="L20" s="10">
        <v>0</v>
      </c>
      <c r="M20" s="10">
        <f>'Oct 2022'!M20+'Nov 2022'!L20</f>
        <v>0</v>
      </c>
      <c r="N20" s="72">
        <f t="shared" si="1"/>
        <v>154.88100000000009</v>
      </c>
      <c r="O20" s="11">
        <f>'Oct 2022'!T20</f>
        <v>741.01099999999985</v>
      </c>
      <c r="P20" s="10">
        <v>0</v>
      </c>
      <c r="Q20" s="10">
        <f>'Oct 2022'!Q20+'Nov 2022'!P20</f>
        <v>399.08000000000004</v>
      </c>
      <c r="R20" s="10">
        <v>0</v>
      </c>
      <c r="S20" s="10">
        <f>'Oct 2022'!S20+'Nov 2022'!R20</f>
        <v>0</v>
      </c>
      <c r="T20" s="82">
        <f t="shared" si="2"/>
        <v>741.01099999999985</v>
      </c>
      <c r="U20" s="82">
        <f t="shared" si="3"/>
        <v>1920.3169999999991</v>
      </c>
      <c r="V20" s="12"/>
      <c r="W20" s="12"/>
    </row>
    <row r="21" spans="1:23" ht="42.75" customHeight="1">
      <c r="A21" s="8">
        <v>12</v>
      </c>
      <c r="B21" s="9" t="s">
        <v>29</v>
      </c>
      <c r="C21" s="10">
        <f>'Oct 2022'!H21</f>
        <v>142.68999999999988</v>
      </c>
      <c r="D21" s="10">
        <v>0</v>
      </c>
      <c r="E21" s="10">
        <f>'Oct 2022'!E21+'Nov 2022'!D21</f>
        <v>0</v>
      </c>
      <c r="F21" s="10">
        <v>0</v>
      </c>
      <c r="G21" s="10">
        <f>'Oct 2022'!G21+'Nov 2022'!F21</f>
        <v>0</v>
      </c>
      <c r="H21" s="72">
        <f t="shared" si="0"/>
        <v>142.68999999999988</v>
      </c>
      <c r="I21" s="10">
        <f>'Oct 2022'!N21</f>
        <v>51.15300000000002</v>
      </c>
      <c r="J21" s="10">
        <v>0.73</v>
      </c>
      <c r="K21" s="10">
        <f>'Oct 2022'!K21+'Nov 2022'!J21</f>
        <v>1.72</v>
      </c>
      <c r="L21" s="10">
        <v>0</v>
      </c>
      <c r="M21" s="10">
        <f>'Oct 2022'!M21+'Nov 2022'!L21</f>
        <v>0</v>
      </c>
      <c r="N21" s="72">
        <f t="shared" si="1"/>
        <v>51.883000000000017</v>
      </c>
      <c r="O21" s="11">
        <f>'Oct 2022'!T21</f>
        <v>310.79999999999995</v>
      </c>
      <c r="P21" s="10">
        <v>0</v>
      </c>
      <c r="Q21" s="10">
        <f>'Oct 2022'!Q21+'Nov 2022'!P21</f>
        <v>44.3</v>
      </c>
      <c r="R21" s="10">
        <v>0</v>
      </c>
      <c r="S21" s="10">
        <f>'Oct 2022'!S21+'Nov 2022'!R21</f>
        <v>0</v>
      </c>
      <c r="T21" s="82">
        <f t="shared" si="2"/>
        <v>310.79999999999995</v>
      </c>
      <c r="U21" s="82">
        <f t="shared" si="3"/>
        <v>505.37299999999982</v>
      </c>
      <c r="V21" s="12"/>
      <c r="W21" s="12"/>
    </row>
    <row r="22" spans="1:23" ht="42.75" customHeight="1">
      <c r="A22" s="8">
        <v>13</v>
      </c>
      <c r="B22" s="9" t="s">
        <v>30</v>
      </c>
      <c r="C22" s="10">
        <f>'Oct 2022'!H22</f>
        <v>27.069999999999879</v>
      </c>
      <c r="D22" s="10">
        <v>0</v>
      </c>
      <c r="E22" s="10">
        <f>'Oct 2022'!E22+'Nov 2022'!D22</f>
        <v>0</v>
      </c>
      <c r="F22" s="10">
        <v>0</v>
      </c>
      <c r="G22" s="10">
        <f>'Oct 2022'!G22+'Nov 2022'!F22</f>
        <v>0</v>
      </c>
      <c r="H22" s="72">
        <f t="shared" si="0"/>
        <v>27.069999999999879</v>
      </c>
      <c r="I22" s="10">
        <f>'Oct 2022'!N22</f>
        <v>15.730000000000006</v>
      </c>
      <c r="J22" s="10">
        <v>0.03</v>
      </c>
      <c r="K22" s="10">
        <f>'Oct 2022'!K22+'Nov 2022'!J22</f>
        <v>0.16</v>
      </c>
      <c r="L22" s="10">
        <v>0</v>
      </c>
      <c r="M22" s="10">
        <f>'Oct 2022'!M22+'Nov 2022'!L22</f>
        <v>0</v>
      </c>
      <c r="N22" s="72">
        <f t="shared" si="1"/>
        <v>15.760000000000005</v>
      </c>
      <c r="O22" s="11">
        <f>'Oct 2022'!T22</f>
        <v>775.6099999999999</v>
      </c>
      <c r="P22" s="10">
        <v>0.03</v>
      </c>
      <c r="Q22" s="10">
        <f>'Oct 2022'!Q22+'Nov 2022'!P22</f>
        <v>104.13000000000001</v>
      </c>
      <c r="R22" s="10">
        <v>0</v>
      </c>
      <c r="S22" s="10">
        <f>'Oct 2022'!S22+'Nov 2022'!R22</f>
        <v>0</v>
      </c>
      <c r="T22" s="82">
        <f t="shared" si="2"/>
        <v>775.63999999999987</v>
      </c>
      <c r="U22" s="82">
        <f t="shared" si="3"/>
        <v>818.4699999999998</v>
      </c>
      <c r="V22" s="12"/>
      <c r="W22" s="12"/>
    </row>
    <row r="23" spans="1:23" ht="42.75" customHeight="1">
      <c r="A23" s="8">
        <v>14</v>
      </c>
      <c r="B23" s="9" t="s">
        <v>31</v>
      </c>
      <c r="C23" s="10">
        <f>'Oct 2022'!H23</f>
        <v>1119.9319999999998</v>
      </c>
      <c r="D23" s="10">
        <v>0.97</v>
      </c>
      <c r="E23" s="10">
        <f>'Oct 2022'!E23+'Nov 2022'!D23</f>
        <v>22.939999999999998</v>
      </c>
      <c r="F23" s="10">
        <v>0</v>
      </c>
      <c r="G23" s="10">
        <f>'Oct 2022'!G23+'Nov 2022'!F23</f>
        <v>75</v>
      </c>
      <c r="H23" s="72">
        <f t="shared" si="0"/>
        <v>1120.9019999999998</v>
      </c>
      <c r="I23" s="10">
        <f>'Oct 2022'!N23</f>
        <v>38.833999999999996</v>
      </c>
      <c r="J23" s="10">
        <v>0.51</v>
      </c>
      <c r="K23" s="10">
        <f>'Oct 2022'!K23+'Nov 2022'!J23</f>
        <v>24.05</v>
      </c>
      <c r="L23" s="10">
        <v>0</v>
      </c>
      <c r="M23" s="10">
        <f>'Oct 2022'!M23+'Nov 2022'!L23</f>
        <v>0</v>
      </c>
      <c r="N23" s="72">
        <f t="shared" si="1"/>
        <v>39.343999999999994</v>
      </c>
      <c r="O23" s="11">
        <f>'Oct 2022'!T23</f>
        <v>402.065</v>
      </c>
      <c r="P23" s="10">
        <v>1.36</v>
      </c>
      <c r="Q23" s="10">
        <f>'Oct 2022'!Q23+'Nov 2022'!P23</f>
        <v>236.14000000000004</v>
      </c>
      <c r="R23" s="10">
        <v>0</v>
      </c>
      <c r="S23" s="10">
        <f>'Oct 2022'!S23+'Nov 2022'!R23</f>
        <v>0</v>
      </c>
      <c r="T23" s="82">
        <f t="shared" si="2"/>
        <v>403.42500000000001</v>
      </c>
      <c r="U23" s="82">
        <f t="shared" si="3"/>
        <v>1563.6709999999998</v>
      </c>
      <c r="V23" s="12"/>
      <c r="W23" s="12"/>
    </row>
    <row r="24" spans="1:23" s="17" customFormat="1" ht="42.75" customHeight="1">
      <c r="A24" s="14"/>
      <c r="B24" s="103" t="s">
        <v>32</v>
      </c>
      <c r="C24" s="16">
        <f>SUM(C20:C23)</f>
        <v>2314.1169999999988</v>
      </c>
      <c r="D24" s="16">
        <f t="shared" ref="D24:U24" si="7">SUM(D20:D23)</f>
        <v>0.97</v>
      </c>
      <c r="E24" s="16">
        <f t="shared" si="7"/>
        <v>23.819999999999997</v>
      </c>
      <c r="F24" s="16">
        <f t="shared" si="7"/>
        <v>0</v>
      </c>
      <c r="G24" s="16">
        <f t="shared" si="7"/>
        <v>255</v>
      </c>
      <c r="H24" s="16">
        <f t="shared" si="7"/>
        <v>2315.0869999999986</v>
      </c>
      <c r="I24" s="16">
        <f t="shared" si="7"/>
        <v>260.29800000000012</v>
      </c>
      <c r="J24" s="16">
        <f t="shared" si="7"/>
        <v>1.57</v>
      </c>
      <c r="K24" s="16">
        <f t="shared" si="7"/>
        <v>28.51</v>
      </c>
      <c r="L24" s="16">
        <f t="shared" si="7"/>
        <v>0</v>
      </c>
      <c r="M24" s="16">
        <f t="shared" si="7"/>
        <v>0</v>
      </c>
      <c r="N24" s="16">
        <f t="shared" si="7"/>
        <v>261.86800000000011</v>
      </c>
      <c r="O24" s="16">
        <f t="shared" si="7"/>
        <v>2229.4859999999994</v>
      </c>
      <c r="P24" s="16">
        <f t="shared" si="7"/>
        <v>1.3900000000000001</v>
      </c>
      <c r="Q24" s="16">
        <f t="shared" si="7"/>
        <v>783.65000000000009</v>
      </c>
      <c r="R24" s="16">
        <f t="shared" si="7"/>
        <v>0</v>
      </c>
      <c r="S24" s="16">
        <f t="shared" si="7"/>
        <v>0</v>
      </c>
      <c r="T24" s="16">
        <f t="shared" si="7"/>
        <v>2230.8759999999997</v>
      </c>
      <c r="U24" s="16">
        <f t="shared" si="7"/>
        <v>4807.8309999999983</v>
      </c>
      <c r="V24" s="102"/>
      <c r="W24" s="102"/>
    </row>
    <row r="25" spans="1:23" s="17" customFormat="1" ht="42.75" customHeight="1">
      <c r="A25" s="14"/>
      <c r="B25" s="15" t="s">
        <v>33</v>
      </c>
      <c r="C25" s="16">
        <f>C24+C19+C15+C11</f>
        <v>10252.272999999996</v>
      </c>
      <c r="D25" s="16">
        <f t="shared" ref="D25:U25" si="8">D24+D19+D15+D11</f>
        <v>2.4</v>
      </c>
      <c r="E25" s="16">
        <f t="shared" si="8"/>
        <v>129.97999999999999</v>
      </c>
      <c r="F25" s="16">
        <f t="shared" si="8"/>
        <v>327.12</v>
      </c>
      <c r="G25" s="16">
        <f t="shared" si="8"/>
        <v>1047.9000000000001</v>
      </c>
      <c r="H25" s="16">
        <f t="shared" si="8"/>
        <v>9927.5529999999962</v>
      </c>
      <c r="I25" s="16">
        <f t="shared" si="8"/>
        <v>1546.8850000000002</v>
      </c>
      <c r="J25" s="16">
        <f t="shared" si="8"/>
        <v>12.742000000000001</v>
      </c>
      <c r="K25" s="16">
        <f t="shared" si="8"/>
        <v>125.249</v>
      </c>
      <c r="L25" s="16">
        <f t="shared" si="8"/>
        <v>0</v>
      </c>
      <c r="M25" s="16">
        <f t="shared" si="8"/>
        <v>2.4500000000000002</v>
      </c>
      <c r="N25" s="16">
        <f t="shared" si="8"/>
        <v>1559.6270000000004</v>
      </c>
      <c r="O25" s="16">
        <f t="shared" si="8"/>
        <v>6387.5540000000001</v>
      </c>
      <c r="P25" s="16">
        <f t="shared" si="8"/>
        <v>91.79000000000002</v>
      </c>
      <c r="Q25" s="16">
        <f t="shared" si="8"/>
        <v>1812.8200000000002</v>
      </c>
      <c r="R25" s="16">
        <f t="shared" si="8"/>
        <v>0.05</v>
      </c>
      <c r="S25" s="16">
        <f t="shared" si="8"/>
        <v>71.009999999999991</v>
      </c>
      <c r="T25" s="16">
        <f t="shared" si="8"/>
        <v>6479.2939999999999</v>
      </c>
      <c r="U25" s="16">
        <f t="shared" si="8"/>
        <v>17966.473999999995</v>
      </c>
      <c r="V25" s="102"/>
      <c r="W25" s="102"/>
    </row>
    <row r="26" spans="1:23" ht="42.75" customHeight="1">
      <c r="A26" s="8">
        <v>15</v>
      </c>
      <c r="B26" s="9" t="s">
        <v>34</v>
      </c>
      <c r="C26" s="10">
        <f>'Oct 2022'!H26</f>
        <v>1202.2019999999993</v>
      </c>
      <c r="D26" s="10">
        <v>3.13</v>
      </c>
      <c r="E26" s="10">
        <f>'Oct 2022'!E26+'Nov 2022'!D26</f>
        <v>21.689999999999998</v>
      </c>
      <c r="F26" s="10">
        <v>0</v>
      </c>
      <c r="G26" s="10">
        <f>'Oct 2022'!G26+'Nov 2022'!F26</f>
        <v>0</v>
      </c>
      <c r="H26" s="72">
        <f t="shared" si="0"/>
        <v>1205.3319999999994</v>
      </c>
      <c r="I26" s="10">
        <f>'Oct 2022'!N26</f>
        <v>0.08</v>
      </c>
      <c r="J26" s="10">
        <v>0</v>
      </c>
      <c r="K26" s="10">
        <f>'Oct 2022'!K26+'Nov 2022'!J26</f>
        <v>0.08</v>
      </c>
      <c r="L26" s="10">
        <v>0.04</v>
      </c>
      <c r="M26" s="10">
        <f>'Oct 2022'!M26+'Nov 2022'!L26</f>
        <v>0.04</v>
      </c>
      <c r="N26" s="72">
        <f t="shared" si="1"/>
        <v>0.04</v>
      </c>
      <c r="O26" s="11">
        <f>'Oct 2022'!T26</f>
        <v>166.29000000000002</v>
      </c>
      <c r="P26" s="10">
        <v>6.69</v>
      </c>
      <c r="Q26" s="10">
        <f>'Oct 2022'!Q26+'Nov 2022'!P26</f>
        <v>43.6</v>
      </c>
      <c r="R26" s="10">
        <v>0.24</v>
      </c>
      <c r="S26" s="10">
        <f>'Oct 2022'!S26+'Nov 2022'!R26</f>
        <v>0.42</v>
      </c>
      <c r="T26" s="82">
        <f t="shared" si="2"/>
        <v>172.74</v>
      </c>
      <c r="U26" s="82">
        <f t="shared" si="3"/>
        <v>1378.1119999999994</v>
      </c>
      <c r="V26" s="115"/>
      <c r="W26" s="12"/>
    </row>
    <row r="27" spans="1:23" ht="42.75" customHeight="1">
      <c r="A27" s="8">
        <v>16</v>
      </c>
      <c r="B27" s="9" t="s">
        <v>67</v>
      </c>
      <c r="C27" s="10">
        <f>'Oct 2022'!H27</f>
        <v>10383.606999999993</v>
      </c>
      <c r="D27" s="10">
        <v>6.97</v>
      </c>
      <c r="E27" s="10">
        <f>'Oct 2022'!E27+'Nov 2022'!D27</f>
        <v>92.39</v>
      </c>
      <c r="F27" s="10">
        <v>0</v>
      </c>
      <c r="G27" s="10">
        <f>'Oct 2022'!G27+'Nov 2022'!F27</f>
        <v>0</v>
      </c>
      <c r="H27" s="72">
        <f t="shared" si="0"/>
        <v>10390.576999999992</v>
      </c>
      <c r="I27" s="10">
        <f>'Oct 2022'!N27</f>
        <v>396.04500000000002</v>
      </c>
      <c r="J27" s="10">
        <v>1.27</v>
      </c>
      <c r="K27" s="10">
        <f>'Oct 2022'!K27+'Nov 2022'!J27</f>
        <v>12.28</v>
      </c>
      <c r="L27" s="10">
        <v>0</v>
      </c>
      <c r="M27" s="10">
        <f>'Oct 2022'!M27+'Nov 2022'!L27</f>
        <v>0</v>
      </c>
      <c r="N27" s="72">
        <f t="shared" si="1"/>
        <v>397.315</v>
      </c>
      <c r="O27" s="11">
        <f>'Oct 2022'!T27</f>
        <v>36.900000000000013</v>
      </c>
      <c r="P27" s="10">
        <v>0</v>
      </c>
      <c r="Q27" s="10">
        <f>'Oct 2022'!Q27+'Nov 2022'!P27</f>
        <v>6.76</v>
      </c>
      <c r="R27" s="10">
        <v>0.01</v>
      </c>
      <c r="S27" s="10">
        <f>'Oct 2022'!S27+'Nov 2022'!R27</f>
        <v>45.22</v>
      </c>
      <c r="T27" s="82">
        <f t="shared" si="2"/>
        <v>36.890000000000015</v>
      </c>
      <c r="U27" s="82">
        <f t="shared" si="3"/>
        <v>10824.781999999992</v>
      </c>
      <c r="V27" s="115"/>
      <c r="W27" s="12"/>
    </row>
    <row r="28" spans="1:23" s="17" customFormat="1" ht="42.75" customHeight="1">
      <c r="A28" s="14"/>
      <c r="B28" s="103" t="s">
        <v>35</v>
      </c>
      <c r="C28" s="16">
        <f>SUM(C26:C27)</f>
        <v>11585.808999999992</v>
      </c>
      <c r="D28" s="16">
        <f t="shared" ref="D28:U28" si="9">SUM(D26:D27)</f>
        <v>10.1</v>
      </c>
      <c r="E28" s="16">
        <f t="shared" si="9"/>
        <v>114.08</v>
      </c>
      <c r="F28" s="16">
        <f t="shared" si="9"/>
        <v>0</v>
      </c>
      <c r="G28" s="16">
        <f t="shared" si="9"/>
        <v>0</v>
      </c>
      <c r="H28" s="16">
        <f t="shared" si="9"/>
        <v>11595.908999999992</v>
      </c>
      <c r="I28" s="16">
        <f t="shared" si="9"/>
        <v>396.125</v>
      </c>
      <c r="J28" s="16">
        <f t="shared" si="9"/>
        <v>1.27</v>
      </c>
      <c r="K28" s="16">
        <f t="shared" si="9"/>
        <v>12.36</v>
      </c>
      <c r="L28" s="16">
        <f t="shared" si="9"/>
        <v>0.04</v>
      </c>
      <c r="M28" s="16">
        <f t="shared" si="9"/>
        <v>0.04</v>
      </c>
      <c r="N28" s="16">
        <f t="shared" si="9"/>
        <v>397.35500000000002</v>
      </c>
      <c r="O28" s="16">
        <f t="shared" si="9"/>
        <v>203.19000000000003</v>
      </c>
      <c r="P28" s="16">
        <f t="shared" si="9"/>
        <v>6.69</v>
      </c>
      <c r="Q28" s="16">
        <f t="shared" si="9"/>
        <v>50.36</v>
      </c>
      <c r="R28" s="16">
        <f t="shared" si="9"/>
        <v>0.25</v>
      </c>
      <c r="S28" s="16">
        <f t="shared" si="9"/>
        <v>45.64</v>
      </c>
      <c r="T28" s="16">
        <f t="shared" si="9"/>
        <v>209.63000000000002</v>
      </c>
      <c r="U28" s="16">
        <f t="shared" si="9"/>
        <v>12202.893999999991</v>
      </c>
      <c r="V28" s="102"/>
      <c r="W28" s="102"/>
    </row>
    <row r="29" spans="1:23" ht="42.75" customHeight="1">
      <c r="A29" s="8">
        <v>17</v>
      </c>
      <c r="B29" s="9" t="s">
        <v>36</v>
      </c>
      <c r="C29" s="10">
        <f>'Oct 2022'!H29</f>
        <v>4459.0070000000014</v>
      </c>
      <c r="D29" s="10">
        <v>17.82</v>
      </c>
      <c r="E29" s="10">
        <f>'Oct 2022'!E29+'Nov 2022'!D29</f>
        <v>75.213999999999999</v>
      </c>
      <c r="F29" s="10">
        <v>0</v>
      </c>
      <c r="G29" s="10">
        <f>'Oct 2022'!G29+'Nov 2022'!F29</f>
        <v>0</v>
      </c>
      <c r="H29" s="72">
        <f t="shared" si="0"/>
        <v>4476.8270000000011</v>
      </c>
      <c r="I29" s="10">
        <f>'Oct 2022'!N29</f>
        <v>184.70000000000002</v>
      </c>
      <c r="J29" s="10">
        <v>0</v>
      </c>
      <c r="K29" s="10">
        <f>'Oct 2022'!K29+'Nov 2022'!J29</f>
        <v>113.00999999999999</v>
      </c>
      <c r="L29" s="10">
        <v>0</v>
      </c>
      <c r="M29" s="10">
        <f>'Oct 2022'!M29+'Nov 2022'!L29</f>
        <v>0</v>
      </c>
      <c r="N29" s="72">
        <f t="shared" si="1"/>
        <v>184.70000000000002</v>
      </c>
      <c r="O29" s="11">
        <f>'Oct 2022'!T29</f>
        <v>246.74</v>
      </c>
      <c r="P29" s="67">
        <v>107.94</v>
      </c>
      <c r="Q29" s="10">
        <f>'Oct 2022'!Q29+'Nov 2022'!P29</f>
        <v>216.6</v>
      </c>
      <c r="R29" s="10">
        <v>0</v>
      </c>
      <c r="S29" s="10">
        <f>'Oct 2022'!S29+'Nov 2022'!R29</f>
        <v>0</v>
      </c>
      <c r="T29" s="11">
        <f t="shared" si="2"/>
        <v>354.68</v>
      </c>
      <c r="U29" s="11">
        <f t="shared" si="3"/>
        <v>5016.2070000000012</v>
      </c>
      <c r="V29" s="12"/>
      <c r="W29" s="12"/>
    </row>
    <row r="30" spans="1:23" ht="42.75" customHeight="1">
      <c r="A30" s="8">
        <v>18</v>
      </c>
      <c r="B30" s="9" t="s">
        <v>37</v>
      </c>
      <c r="C30" s="10">
        <f>'Oct 2022'!H30</f>
        <v>6407.2780000000021</v>
      </c>
      <c r="D30" s="10">
        <v>6.6210000000000004</v>
      </c>
      <c r="E30" s="10">
        <f>'Oct 2022'!E30+'Nov 2022'!D30</f>
        <v>238.55500000000004</v>
      </c>
      <c r="F30" s="10">
        <v>0</v>
      </c>
      <c r="G30" s="10">
        <f>'Oct 2022'!G30+'Nov 2022'!F30</f>
        <v>0</v>
      </c>
      <c r="H30" s="72">
        <f t="shared" si="0"/>
        <v>6413.8990000000022</v>
      </c>
      <c r="I30" s="10">
        <f>'Oct 2022'!N30</f>
        <v>130.80000000000001</v>
      </c>
      <c r="J30" s="10">
        <v>0</v>
      </c>
      <c r="K30" s="10">
        <f>'Oct 2022'!K30+'Nov 2022'!J30</f>
        <v>130.80000000000001</v>
      </c>
      <c r="L30" s="10">
        <v>0</v>
      </c>
      <c r="M30" s="10">
        <f>'Oct 2022'!M30+'Nov 2022'!L30</f>
        <v>0</v>
      </c>
      <c r="N30" s="72">
        <f t="shared" si="1"/>
        <v>130.80000000000001</v>
      </c>
      <c r="O30" s="11">
        <f>'Oct 2022'!T30</f>
        <v>75.05</v>
      </c>
      <c r="P30" s="67">
        <v>29.91</v>
      </c>
      <c r="Q30" s="10">
        <f>'Oct 2022'!Q30+'Nov 2022'!P30</f>
        <v>104.74</v>
      </c>
      <c r="R30" s="10">
        <v>0</v>
      </c>
      <c r="S30" s="10">
        <f>'Oct 2022'!S30+'Nov 2022'!R30</f>
        <v>0</v>
      </c>
      <c r="T30" s="11">
        <f t="shared" si="2"/>
        <v>104.96</v>
      </c>
      <c r="U30" s="11">
        <f t="shared" si="3"/>
        <v>6649.6590000000024</v>
      </c>
      <c r="V30" s="12"/>
      <c r="W30" s="12"/>
    </row>
    <row r="31" spans="1:23" ht="42.75" customHeight="1">
      <c r="A31" s="8">
        <v>19</v>
      </c>
      <c r="B31" s="9" t="s">
        <v>38</v>
      </c>
      <c r="C31" s="10">
        <f>'Oct 2022'!H31</f>
        <v>3104.6319999999992</v>
      </c>
      <c r="D31" s="10">
        <v>5.1189999999999998</v>
      </c>
      <c r="E31" s="10">
        <f>'Oct 2022'!E31+'Nov 2022'!D31</f>
        <v>39.068000000000005</v>
      </c>
      <c r="F31" s="10">
        <v>0</v>
      </c>
      <c r="G31" s="10">
        <f>'Oct 2022'!G31+'Nov 2022'!F31</f>
        <v>3.38</v>
      </c>
      <c r="H31" s="72">
        <f t="shared" si="0"/>
        <v>3109.7509999999993</v>
      </c>
      <c r="I31" s="10">
        <f>'Oct 2022'!N31</f>
        <v>50.180000000000007</v>
      </c>
      <c r="J31" s="10">
        <v>0</v>
      </c>
      <c r="K31" s="10">
        <f>'Oct 2022'!K31+'Nov 2022'!J31</f>
        <v>47.02</v>
      </c>
      <c r="L31" s="10">
        <v>0</v>
      </c>
      <c r="M31" s="10">
        <f>'Oct 2022'!M31+'Nov 2022'!L31</f>
        <v>0</v>
      </c>
      <c r="N31" s="72">
        <f t="shared" si="1"/>
        <v>50.180000000000007</v>
      </c>
      <c r="O31" s="11">
        <f>'Oct 2022'!T31</f>
        <v>188.54</v>
      </c>
      <c r="P31" s="10">
        <v>55.9</v>
      </c>
      <c r="Q31" s="10">
        <f>'Oct 2022'!Q31+'Nov 2022'!P31</f>
        <v>115.96000000000001</v>
      </c>
      <c r="R31" s="10">
        <v>0</v>
      </c>
      <c r="S31" s="10">
        <f>'Oct 2022'!S31+'Nov 2022'!R31</f>
        <v>0</v>
      </c>
      <c r="T31" s="82">
        <f t="shared" si="2"/>
        <v>244.44</v>
      </c>
      <c r="U31" s="11">
        <f t="shared" si="3"/>
        <v>3404.3709999999992</v>
      </c>
      <c r="V31" s="12"/>
      <c r="W31" s="12"/>
    </row>
    <row r="32" spans="1:23" ht="42.75" customHeight="1">
      <c r="A32" s="8">
        <v>20</v>
      </c>
      <c r="B32" s="9" t="s">
        <v>39</v>
      </c>
      <c r="C32" s="10">
        <f>'Oct 2022'!H32</f>
        <v>4379.8900000000003</v>
      </c>
      <c r="D32" s="10">
        <v>0.65</v>
      </c>
      <c r="E32" s="10">
        <f>'Oct 2022'!E32+'Nov 2022'!D32</f>
        <v>24.669999999999995</v>
      </c>
      <c r="F32" s="10">
        <v>0</v>
      </c>
      <c r="G32" s="10">
        <f>'Oct 2022'!G32+'Nov 2022'!F32</f>
        <v>0</v>
      </c>
      <c r="H32" s="72">
        <f t="shared" si="0"/>
        <v>4380.54</v>
      </c>
      <c r="I32" s="10">
        <f>'Oct 2022'!N32</f>
        <v>220.91</v>
      </c>
      <c r="J32" s="10">
        <v>2.19</v>
      </c>
      <c r="K32" s="10">
        <f>'Oct 2022'!K32+'Nov 2022'!J32</f>
        <v>89.259999999999991</v>
      </c>
      <c r="L32" s="10">
        <v>0</v>
      </c>
      <c r="M32" s="10">
        <f>'Oct 2022'!M32+'Nov 2022'!L32</f>
        <v>0</v>
      </c>
      <c r="N32" s="72">
        <f t="shared" si="1"/>
        <v>223.1</v>
      </c>
      <c r="O32" s="11">
        <f>'Oct 2022'!T32</f>
        <v>243.64999999999995</v>
      </c>
      <c r="P32" s="10">
        <v>0</v>
      </c>
      <c r="Q32" s="10">
        <f>'Oct 2022'!Q32+'Nov 2022'!P32</f>
        <v>0.01</v>
      </c>
      <c r="R32" s="10">
        <v>0</v>
      </c>
      <c r="S32" s="10">
        <f>'Oct 2022'!S32+'Nov 2022'!R32</f>
        <v>27.41</v>
      </c>
      <c r="T32" s="82">
        <f t="shared" si="2"/>
        <v>243.64999999999995</v>
      </c>
      <c r="U32" s="11">
        <f t="shared" si="3"/>
        <v>4847.29</v>
      </c>
      <c r="V32" s="12"/>
      <c r="W32" s="12"/>
    </row>
    <row r="33" spans="1:23" s="17" customFormat="1" ht="42.75" customHeight="1">
      <c r="A33" s="14"/>
      <c r="B33" s="103" t="s">
        <v>68</v>
      </c>
      <c r="C33" s="16">
        <f>SUM(C29:C32)</f>
        <v>18350.807000000004</v>
      </c>
      <c r="D33" s="16">
        <f t="shared" ref="D33:U33" si="10">SUM(D29:D32)</f>
        <v>30.21</v>
      </c>
      <c r="E33" s="16">
        <f t="shared" si="10"/>
        <v>377.50700000000001</v>
      </c>
      <c r="F33" s="16">
        <f t="shared" si="10"/>
        <v>0</v>
      </c>
      <c r="G33" s="16">
        <f t="shared" si="10"/>
        <v>3.38</v>
      </c>
      <c r="H33" s="16">
        <f t="shared" si="10"/>
        <v>18381.017000000003</v>
      </c>
      <c r="I33" s="16">
        <f t="shared" si="10"/>
        <v>586.59</v>
      </c>
      <c r="J33" s="16">
        <f t="shared" si="10"/>
        <v>2.19</v>
      </c>
      <c r="K33" s="16">
        <f t="shared" si="10"/>
        <v>380.09</v>
      </c>
      <c r="L33" s="16">
        <f t="shared" si="10"/>
        <v>0</v>
      </c>
      <c r="M33" s="16">
        <f t="shared" si="10"/>
        <v>0</v>
      </c>
      <c r="N33" s="16">
        <f t="shared" si="10"/>
        <v>588.78</v>
      </c>
      <c r="O33" s="16">
        <f t="shared" si="10"/>
        <v>753.98</v>
      </c>
      <c r="P33" s="16">
        <f t="shared" si="10"/>
        <v>193.75</v>
      </c>
      <c r="Q33" s="16">
        <f t="shared" si="10"/>
        <v>437.30999999999995</v>
      </c>
      <c r="R33" s="16">
        <f t="shared" si="10"/>
        <v>0</v>
      </c>
      <c r="S33" s="16">
        <f t="shared" si="10"/>
        <v>27.41</v>
      </c>
      <c r="T33" s="16">
        <f t="shared" si="10"/>
        <v>947.7299999999999</v>
      </c>
      <c r="U33" s="16">
        <f t="shared" si="10"/>
        <v>19917.527000000002</v>
      </c>
      <c r="V33" s="102"/>
      <c r="W33" s="102"/>
    </row>
    <row r="34" spans="1:23" ht="42.75" customHeight="1">
      <c r="A34" s="8">
        <v>21</v>
      </c>
      <c r="B34" s="9" t="s">
        <v>40</v>
      </c>
      <c r="C34" s="10">
        <f>'Oct 2022'!H34</f>
        <v>5932.1900000000014</v>
      </c>
      <c r="D34" s="10">
        <v>9.84</v>
      </c>
      <c r="E34" s="10">
        <f>'Oct 2022'!E34+'Nov 2022'!D34</f>
        <v>75.92</v>
      </c>
      <c r="F34" s="10">
        <v>0</v>
      </c>
      <c r="G34" s="10">
        <f>'Oct 2022'!G34+'Nov 2022'!F34</f>
        <v>0</v>
      </c>
      <c r="H34" s="10">
        <f t="shared" si="0"/>
        <v>5942.0300000000016</v>
      </c>
      <c r="I34" s="10">
        <f>'Oct 2022'!N34</f>
        <v>2</v>
      </c>
      <c r="J34" s="10">
        <v>0</v>
      </c>
      <c r="K34" s="10">
        <f>'Oct 2022'!K34+'Nov 2022'!J34</f>
        <v>2</v>
      </c>
      <c r="L34" s="10">
        <v>0</v>
      </c>
      <c r="M34" s="10">
        <f>'Oct 2022'!M34+'Nov 2022'!L34</f>
        <v>0</v>
      </c>
      <c r="N34" s="72">
        <f t="shared" si="1"/>
        <v>2</v>
      </c>
      <c r="O34" s="11">
        <f>'Oct 2022'!T34</f>
        <v>38.700000000000003</v>
      </c>
      <c r="P34" s="10">
        <v>0</v>
      </c>
      <c r="Q34" s="10">
        <f>'Oct 2022'!Q34+'Nov 2022'!P34</f>
        <v>38.700000000000003</v>
      </c>
      <c r="R34" s="10">
        <v>0</v>
      </c>
      <c r="S34" s="10">
        <f>'Oct 2022'!S34+'Nov 2022'!R34</f>
        <v>0</v>
      </c>
      <c r="T34" s="82">
        <f t="shared" si="2"/>
        <v>38.700000000000003</v>
      </c>
      <c r="U34" s="11">
        <f t="shared" si="3"/>
        <v>5982.7300000000014</v>
      </c>
      <c r="V34" s="18"/>
      <c r="W34" s="18"/>
    </row>
    <row r="35" spans="1:23" ht="42.75" customHeight="1">
      <c r="A35" s="8">
        <v>22</v>
      </c>
      <c r="B35" s="9" t="s">
        <v>41</v>
      </c>
      <c r="C35" s="10">
        <f>'Oct 2022'!H35</f>
        <v>4728.1050000000014</v>
      </c>
      <c r="D35" s="10">
        <v>18.09</v>
      </c>
      <c r="E35" s="10">
        <f>'Oct 2022'!E35+'Nov 2022'!D35</f>
        <v>121.29</v>
      </c>
      <c r="F35" s="96">
        <v>13.64</v>
      </c>
      <c r="G35" s="10">
        <f>'Oct 2022'!G35+'Nov 2022'!F35</f>
        <v>13.64</v>
      </c>
      <c r="H35" s="10">
        <f t="shared" si="0"/>
        <v>4732.5550000000012</v>
      </c>
      <c r="I35" s="10">
        <f>'Oct 2022'!N35</f>
        <v>0.1</v>
      </c>
      <c r="J35" s="10">
        <v>0</v>
      </c>
      <c r="K35" s="10">
        <f>'Oct 2022'!K35+'Nov 2022'!J35</f>
        <v>0</v>
      </c>
      <c r="L35" s="10">
        <v>0</v>
      </c>
      <c r="M35" s="10">
        <f>'Oct 2022'!M35+'Nov 2022'!L35</f>
        <v>0</v>
      </c>
      <c r="N35" s="72">
        <f t="shared" si="1"/>
        <v>0.1</v>
      </c>
      <c r="O35" s="11">
        <f>'Oct 2022'!T35</f>
        <v>117.36000000000001</v>
      </c>
      <c r="P35" s="10">
        <v>8.11</v>
      </c>
      <c r="Q35" s="10">
        <f>'Oct 2022'!Q35+'Nov 2022'!P35</f>
        <v>109.04</v>
      </c>
      <c r="R35" s="10">
        <v>0</v>
      </c>
      <c r="S35" s="10">
        <f>'Oct 2022'!S35+'Nov 2022'!R35</f>
        <v>0</v>
      </c>
      <c r="T35" s="82">
        <f t="shared" si="2"/>
        <v>125.47000000000001</v>
      </c>
      <c r="U35" s="11">
        <f t="shared" si="3"/>
        <v>4858.1250000000018</v>
      </c>
      <c r="V35" s="18"/>
      <c r="W35" s="18"/>
    </row>
    <row r="36" spans="1:23" ht="42.75" customHeight="1">
      <c r="A36" s="8">
        <v>23</v>
      </c>
      <c r="B36" s="9" t="s">
        <v>42</v>
      </c>
      <c r="C36" s="10">
        <f>'Oct 2022'!H36</f>
        <v>19368.120000000003</v>
      </c>
      <c r="D36" s="10">
        <v>0</v>
      </c>
      <c r="E36" s="10">
        <f>'Oct 2022'!E36+'Nov 2022'!D36</f>
        <v>1.25</v>
      </c>
      <c r="F36" s="10">
        <v>0</v>
      </c>
      <c r="G36" s="10">
        <f>'Oct 2022'!G36+'Nov 2022'!F36</f>
        <v>0</v>
      </c>
      <c r="H36" s="10">
        <f t="shared" si="0"/>
        <v>19368.120000000003</v>
      </c>
      <c r="I36" s="10">
        <f>'Oct 2022'!N36</f>
        <v>8.5</v>
      </c>
      <c r="J36" s="10">
        <v>0</v>
      </c>
      <c r="K36" s="10">
        <f>'Oct 2022'!K36+'Nov 2022'!J36</f>
        <v>0</v>
      </c>
      <c r="L36" s="10">
        <v>0</v>
      </c>
      <c r="M36" s="10">
        <f>'Oct 2022'!M36+'Nov 2022'!L36</f>
        <v>0</v>
      </c>
      <c r="N36" s="72">
        <f t="shared" si="1"/>
        <v>8.5</v>
      </c>
      <c r="O36" s="11">
        <f>'Oct 2022'!T36</f>
        <v>72.39</v>
      </c>
      <c r="P36" s="10">
        <v>0</v>
      </c>
      <c r="Q36" s="10">
        <f>'Oct 2022'!Q36+'Nov 2022'!P36</f>
        <v>72.39</v>
      </c>
      <c r="R36" s="10">
        <v>0</v>
      </c>
      <c r="S36" s="10">
        <f>'Oct 2022'!S36+'Nov 2022'!R36</f>
        <v>0</v>
      </c>
      <c r="T36" s="82">
        <f t="shared" si="2"/>
        <v>72.39</v>
      </c>
      <c r="U36" s="11">
        <f t="shared" si="3"/>
        <v>19449.010000000002</v>
      </c>
      <c r="V36" s="18"/>
      <c r="W36" s="18"/>
    </row>
    <row r="37" spans="1:23" ht="42.75" customHeight="1">
      <c r="A37" s="8">
        <v>24</v>
      </c>
      <c r="B37" s="9" t="s">
        <v>43</v>
      </c>
      <c r="C37" s="10">
        <f>'Oct 2022'!H37</f>
        <v>7015.3599999999988</v>
      </c>
      <c r="D37" s="10">
        <v>1.34</v>
      </c>
      <c r="E37" s="10">
        <f>'Oct 2022'!E37+'Nov 2022'!D37</f>
        <v>9.1000000000000014</v>
      </c>
      <c r="F37" s="10">
        <v>0</v>
      </c>
      <c r="G37" s="10">
        <f>'Oct 2022'!G37+'Nov 2022'!F37</f>
        <v>0</v>
      </c>
      <c r="H37" s="72">
        <f t="shared" si="0"/>
        <v>7016.6999999999989</v>
      </c>
      <c r="I37" s="10">
        <f>'Oct 2022'!N37</f>
        <v>0</v>
      </c>
      <c r="J37" s="10">
        <v>0</v>
      </c>
      <c r="K37" s="10">
        <f>'Oct 2022'!K37+'Nov 2022'!J37</f>
        <v>0</v>
      </c>
      <c r="L37" s="10">
        <v>0</v>
      </c>
      <c r="M37" s="10">
        <f>'Oct 2022'!M37+'Nov 2022'!L37</f>
        <v>0</v>
      </c>
      <c r="N37" s="72">
        <f t="shared" si="1"/>
        <v>0</v>
      </c>
      <c r="O37" s="11">
        <f>'Oct 2022'!T37</f>
        <v>3.1</v>
      </c>
      <c r="P37" s="10">
        <v>0</v>
      </c>
      <c r="Q37" s="10">
        <f>'Oct 2022'!Q37+'Nov 2022'!P37</f>
        <v>0</v>
      </c>
      <c r="R37" s="10">
        <v>0</v>
      </c>
      <c r="S37" s="10">
        <f>'Oct 2022'!S37+'Nov 2022'!R37</f>
        <v>0</v>
      </c>
      <c r="T37" s="82">
        <f t="shared" si="2"/>
        <v>3.1</v>
      </c>
      <c r="U37" s="82">
        <f t="shared" si="3"/>
        <v>7019.7999999999993</v>
      </c>
      <c r="V37" s="18"/>
      <c r="W37" s="18"/>
    </row>
    <row r="38" spans="1:23" s="17" customFormat="1" ht="42.75" customHeight="1">
      <c r="A38" s="14"/>
      <c r="B38" s="103" t="s">
        <v>44</v>
      </c>
      <c r="C38" s="16">
        <f>SUM(C34:C37)</f>
        <v>37043.775000000001</v>
      </c>
      <c r="D38" s="16">
        <f t="shared" ref="D38:U38" si="11">SUM(D34:D37)</f>
        <v>29.27</v>
      </c>
      <c r="E38" s="16">
        <f t="shared" si="11"/>
        <v>207.56</v>
      </c>
      <c r="F38" s="16">
        <f t="shared" si="11"/>
        <v>13.64</v>
      </c>
      <c r="G38" s="16">
        <f t="shared" si="11"/>
        <v>13.64</v>
      </c>
      <c r="H38" s="16">
        <f t="shared" si="11"/>
        <v>37059.405000000006</v>
      </c>
      <c r="I38" s="16">
        <f t="shared" si="11"/>
        <v>10.6</v>
      </c>
      <c r="J38" s="16">
        <f t="shared" si="11"/>
        <v>0</v>
      </c>
      <c r="K38" s="16">
        <f t="shared" si="11"/>
        <v>2</v>
      </c>
      <c r="L38" s="16">
        <f t="shared" si="11"/>
        <v>0</v>
      </c>
      <c r="M38" s="16">
        <f t="shared" si="11"/>
        <v>0</v>
      </c>
      <c r="N38" s="16">
        <f t="shared" si="11"/>
        <v>10.6</v>
      </c>
      <c r="O38" s="16">
        <f t="shared" si="11"/>
        <v>231.54999999999998</v>
      </c>
      <c r="P38" s="16">
        <f t="shared" si="11"/>
        <v>8.11</v>
      </c>
      <c r="Q38" s="16">
        <f t="shared" si="11"/>
        <v>220.13</v>
      </c>
      <c r="R38" s="16">
        <f t="shared" si="11"/>
        <v>0</v>
      </c>
      <c r="S38" s="16">
        <f t="shared" si="11"/>
        <v>0</v>
      </c>
      <c r="T38" s="16">
        <f t="shared" si="11"/>
        <v>239.66</v>
      </c>
      <c r="U38" s="16">
        <f t="shared" si="11"/>
        <v>37309.665000000008</v>
      </c>
      <c r="V38" s="102"/>
      <c r="W38" s="102"/>
    </row>
    <row r="39" spans="1:23" s="17" customFormat="1" ht="42.75" customHeight="1">
      <c r="A39" s="14"/>
      <c r="B39" s="15" t="s">
        <v>45</v>
      </c>
      <c r="C39" s="16">
        <f>C38+C33+C28</f>
        <v>66980.391000000003</v>
      </c>
      <c r="D39" s="16">
        <f t="shared" ref="D39:U39" si="12">D38+D33+D28</f>
        <v>69.58</v>
      </c>
      <c r="E39" s="16">
        <f t="shared" si="12"/>
        <v>699.14700000000005</v>
      </c>
      <c r="F39" s="16">
        <f t="shared" si="12"/>
        <v>13.64</v>
      </c>
      <c r="G39" s="16">
        <f t="shared" si="12"/>
        <v>17.02</v>
      </c>
      <c r="H39" s="16">
        <f t="shared" si="12"/>
        <v>67036.331000000006</v>
      </c>
      <c r="I39" s="16">
        <f t="shared" si="12"/>
        <v>993.31500000000005</v>
      </c>
      <c r="J39" s="16">
        <f t="shared" si="12"/>
        <v>3.46</v>
      </c>
      <c r="K39" s="16">
        <f t="shared" si="12"/>
        <v>394.45</v>
      </c>
      <c r="L39" s="16">
        <f t="shared" si="12"/>
        <v>0.04</v>
      </c>
      <c r="M39" s="16">
        <f t="shared" si="12"/>
        <v>0.04</v>
      </c>
      <c r="N39" s="16">
        <f t="shared" si="12"/>
        <v>996.73500000000001</v>
      </c>
      <c r="O39" s="16">
        <f t="shared" si="12"/>
        <v>1188.72</v>
      </c>
      <c r="P39" s="16">
        <f t="shared" si="12"/>
        <v>208.55</v>
      </c>
      <c r="Q39" s="16">
        <f t="shared" si="12"/>
        <v>707.8</v>
      </c>
      <c r="R39" s="16">
        <f t="shared" si="12"/>
        <v>0.25</v>
      </c>
      <c r="S39" s="16">
        <f t="shared" si="12"/>
        <v>73.05</v>
      </c>
      <c r="T39" s="16">
        <f t="shared" si="12"/>
        <v>1397.02</v>
      </c>
      <c r="U39" s="16">
        <f t="shared" si="12"/>
        <v>69430.085999999996</v>
      </c>
      <c r="V39" s="102"/>
      <c r="W39" s="102"/>
    </row>
    <row r="40" spans="1:23" ht="42.75" customHeight="1">
      <c r="A40" s="8">
        <v>25</v>
      </c>
      <c r="B40" s="9" t="s">
        <v>46</v>
      </c>
      <c r="C40" s="10">
        <f>'Oct 2022'!H40</f>
        <v>13867.408000000003</v>
      </c>
      <c r="D40" s="10">
        <v>5.66</v>
      </c>
      <c r="E40" s="10">
        <f>'Oct 2022'!E40+'Nov 2022'!D40</f>
        <v>88.219999999999985</v>
      </c>
      <c r="F40" s="10">
        <v>0</v>
      </c>
      <c r="G40" s="10">
        <f>'Oct 2022'!G40+'Nov 2022'!F40</f>
        <v>0.24</v>
      </c>
      <c r="H40" s="72">
        <f t="shared" si="0"/>
        <v>13873.068000000003</v>
      </c>
      <c r="I40" s="10">
        <f>'Oct 2022'!N40</f>
        <v>69.3</v>
      </c>
      <c r="J40" s="10">
        <v>157.5</v>
      </c>
      <c r="K40" s="10">
        <f>'Oct 2022'!K40+'Nov 2022'!J40</f>
        <v>226.8</v>
      </c>
      <c r="L40" s="10">
        <v>0</v>
      </c>
      <c r="M40" s="10">
        <f>'Oct 2022'!M40+'Nov 2022'!L40</f>
        <v>0</v>
      </c>
      <c r="N40" s="72">
        <f t="shared" si="1"/>
        <v>226.8</v>
      </c>
      <c r="O40" s="11">
        <f>'Oct 2022'!T40</f>
        <v>12.5</v>
      </c>
      <c r="P40" s="10">
        <v>62.52</v>
      </c>
      <c r="Q40" s="10">
        <f>'Oct 2022'!Q40+'Nov 2022'!P40</f>
        <v>75.02000000000001</v>
      </c>
      <c r="R40" s="10">
        <v>0</v>
      </c>
      <c r="S40" s="10">
        <f>'Oct 2022'!S40+'Nov 2022'!R40</f>
        <v>0</v>
      </c>
      <c r="T40" s="82">
        <f t="shared" si="2"/>
        <v>75.02000000000001</v>
      </c>
      <c r="U40" s="11">
        <f t="shared" si="3"/>
        <v>14174.888000000003</v>
      </c>
      <c r="V40" s="12"/>
      <c r="W40" s="12"/>
    </row>
    <row r="41" spans="1:23" ht="42.75" customHeight="1">
      <c r="A41" s="8">
        <v>26</v>
      </c>
      <c r="B41" s="9" t="s">
        <v>47</v>
      </c>
      <c r="C41" s="10">
        <f>'Oct 2022'!H41</f>
        <v>10522.185999999994</v>
      </c>
      <c r="D41" s="10">
        <v>2.58</v>
      </c>
      <c r="E41" s="10">
        <f>'Oct 2022'!E41+'Nov 2022'!D41</f>
        <v>415.05</v>
      </c>
      <c r="F41" s="10">
        <v>0</v>
      </c>
      <c r="G41" s="10">
        <f>'Oct 2022'!G41+'Nov 2022'!F41</f>
        <v>0</v>
      </c>
      <c r="H41" s="10">
        <f t="shared" si="0"/>
        <v>10524.765999999994</v>
      </c>
      <c r="I41" s="10">
        <f>'Oct 2022'!N41</f>
        <v>0</v>
      </c>
      <c r="J41" s="10">
        <v>0</v>
      </c>
      <c r="K41" s="10">
        <f>'Oct 2022'!K41+'Nov 2022'!J41</f>
        <v>0</v>
      </c>
      <c r="L41" s="10">
        <v>0</v>
      </c>
      <c r="M41" s="10">
        <f>'Oct 2022'!M41+'Nov 2022'!L41</f>
        <v>0</v>
      </c>
      <c r="N41" s="72">
        <f t="shared" si="1"/>
        <v>0</v>
      </c>
      <c r="O41" s="11">
        <f>'Oct 2022'!T41</f>
        <v>14.93</v>
      </c>
      <c r="P41" s="10">
        <v>74.650000000000006</v>
      </c>
      <c r="Q41" s="10">
        <f>'Oct 2022'!Q41+'Nov 2022'!P41</f>
        <v>89.580000000000013</v>
      </c>
      <c r="R41" s="10">
        <v>0</v>
      </c>
      <c r="S41" s="10">
        <f>'Oct 2022'!S41+'Nov 2022'!R41</f>
        <v>0</v>
      </c>
      <c r="T41" s="82">
        <f t="shared" si="2"/>
        <v>89.580000000000013</v>
      </c>
      <c r="U41" s="11">
        <f t="shared" si="3"/>
        <v>10614.345999999994</v>
      </c>
      <c r="V41" s="12"/>
      <c r="W41" s="12"/>
    </row>
    <row r="42" spans="1:23" ht="42.75" customHeight="1">
      <c r="A42" s="8">
        <v>27</v>
      </c>
      <c r="B42" s="9" t="s">
        <v>48</v>
      </c>
      <c r="C42" s="96">
        <f>'Oct 2022'!H42+13.64</f>
        <v>23935.294000000002</v>
      </c>
      <c r="D42" s="10">
        <v>10.19</v>
      </c>
      <c r="E42" s="10">
        <f>'Oct 2022'!E42+'Nov 2022'!D42</f>
        <v>57.929999999999993</v>
      </c>
      <c r="F42" s="10">
        <v>0</v>
      </c>
      <c r="G42" s="10">
        <f>'Oct 2022'!G42+'Nov 2022'!F42</f>
        <v>0</v>
      </c>
      <c r="H42" s="10">
        <f t="shared" si="0"/>
        <v>23945.484</v>
      </c>
      <c r="I42" s="10">
        <f>'Oct 2022'!N42</f>
        <v>0</v>
      </c>
      <c r="J42" s="10">
        <v>0</v>
      </c>
      <c r="K42" s="10">
        <f>'Oct 2022'!K42+'Nov 2022'!J42</f>
        <v>0</v>
      </c>
      <c r="L42" s="10">
        <v>0</v>
      </c>
      <c r="M42" s="10">
        <f>'Oct 2022'!M42+'Nov 2022'!L42</f>
        <v>0</v>
      </c>
      <c r="N42" s="72">
        <f t="shared" si="1"/>
        <v>0</v>
      </c>
      <c r="O42" s="11">
        <f>'Oct 2022'!T42</f>
        <v>6.41</v>
      </c>
      <c r="P42" s="10">
        <v>32.06</v>
      </c>
      <c r="Q42" s="10">
        <f>'Oct 2022'!Q42+'Nov 2022'!P42</f>
        <v>38.47</v>
      </c>
      <c r="R42" s="10">
        <v>0</v>
      </c>
      <c r="S42" s="10">
        <f>'Oct 2022'!S42+'Nov 2022'!R42</f>
        <v>0</v>
      </c>
      <c r="T42" s="82">
        <f t="shared" si="2"/>
        <v>38.47</v>
      </c>
      <c r="U42" s="11">
        <f t="shared" si="3"/>
        <v>23983.954000000002</v>
      </c>
      <c r="V42" s="12"/>
      <c r="W42" s="12"/>
    </row>
    <row r="43" spans="1:23" ht="42.75" customHeight="1">
      <c r="A43" s="8">
        <v>28</v>
      </c>
      <c r="B43" s="9" t="s">
        <v>49</v>
      </c>
      <c r="C43" s="10">
        <f>'Oct 2022'!H43</f>
        <v>2442.9630000000002</v>
      </c>
      <c r="D43" s="10">
        <v>8.01</v>
      </c>
      <c r="E43" s="10">
        <f>'Oct 2022'!E43+'Nov 2022'!D43</f>
        <v>164.51</v>
      </c>
      <c r="F43" s="10">
        <v>0</v>
      </c>
      <c r="G43" s="10">
        <f>'Oct 2022'!G43+'Nov 2022'!F43</f>
        <v>0</v>
      </c>
      <c r="H43" s="10">
        <f t="shared" si="0"/>
        <v>2450.9730000000004</v>
      </c>
      <c r="I43" s="10">
        <f>'Oct 2022'!N43</f>
        <v>0</v>
      </c>
      <c r="J43" s="10">
        <v>0</v>
      </c>
      <c r="K43" s="10">
        <f>'Oct 2022'!K43+'Nov 2022'!J43</f>
        <v>0</v>
      </c>
      <c r="L43" s="10">
        <v>0</v>
      </c>
      <c r="M43" s="10">
        <f>'Oct 2022'!M43+'Nov 2022'!L43</f>
        <v>0</v>
      </c>
      <c r="N43" s="72">
        <f t="shared" si="1"/>
        <v>0</v>
      </c>
      <c r="O43" s="11">
        <f>'Oct 2022'!T43</f>
        <v>24.41</v>
      </c>
      <c r="P43" s="10">
        <v>122.08</v>
      </c>
      <c r="Q43" s="10">
        <f>'Oct 2022'!Q43+'Nov 2022'!P43</f>
        <v>146.49</v>
      </c>
      <c r="R43" s="10">
        <v>0</v>
      </c>
      <c r="S43" s="10">
        <f>'Oct 2022'!S43+'Nov 2022'!R43</f>
        <v>0</v>
      </c>
      <c r="T43" s="82">
        <f t="shared" si="2"/>
        <v>146.49</v>
      </c>
      <c r="U43" s="11">
        <f t="shared" si="3"/>
        <v>2597.4630000000006</v>
      </c>
      <c r="V43" s="12"/>
      <c r="W43" s="12"/>
    </row>
    <row r="44" spans="1:23" s="17" customFormat="1" ht="42.75" customHeight="1">
      <c r="A44" s="14"/>
      <c r="B44" s="103" t="s">
        <v>50</v>
      </c>
      <c r="C44" s="16">
        <f>SUM(C40:C43)</f>
        <v>50767.851000000002</v>
      </c>
      <c r="D44" s="16">
        <f t="shared" ref="D44:U44" si="13">SUM(D40:D43)</f>
        <v>26.439999999999998</v>
      </c>
      <c r="E44" s="16">
        <f t="shared" si="13"/>
        <v>725.70999999999992</v>
      </c>
      <c r="F44" s="16">
        <f t="shared" si="13"/>
        <v>0</v>
      </c>
      <c r="G44" s="16">
        <f t="shared" si="13"/>
        <v>0.24</v>
      </c>
      <c r="H44" s="16">
        <f t="shared" si="13"/>
        <v>50794.290999999997</v>
      </c>
      <c r="I44" s="16">
        <f t="shared" si="13"/>
        <v>69.3</v>
      </c>
      <c r="J44" s="16">
        <f t="shared" si="13"/>
        <v>157.5</v>
      </c>
      <c r="K44" s="16">
        <f t="shared" si="13"/>
        <v>226.8</v>
      </c>
      <c r="L44" s="16">
        <f t="shared" si="13"/>
        <v>0</v>
      </c>
      <c r="M44" s="16">
        <f t="shared" si="13"/>
        <v>0</v>
      </c>
      <c r="N44" s="16">
        <f t="shared" si="13"/>
        <v>226.8</v>
      </c>
      <c r="O44" s="16">
        <f t="shared" si="13"/>
        <v>58.25</v>
      </c>
      <c r="P44" s="16">
        <f t="shared" si="13"/>
        <v>291.31</v>
      </c>
      <c r="Q44" s="16">
        <f t="shared" si="13"/>
        <v>349.56000000000006</v>
      </c>
      <c r="R44" s="16">
        <f t="shared" si="13"/>
        <v>0</v>
      </c>
      <c r="S44" s="16">
        <f t="shared" si="13"/>
        <v>0</v>
      </c>
      <c r="T44" s="16">
        <f t="shared" si="13"/>
        <v>349.56000000000006</v>
      </c>
      <c r="U44" s="16">
        <f t="shared" si="13"/>
        <v>51370.650999999998</v>
      </c>
      <c r="V44" s="102"/>
      <c r="W44" s="102"/>
    </row>
    <row r="45" spans="1:23" ht="42.75" customHeight="1">
      <c r="A45" s="8">
        <v>29</v>
      </c>
      <c r="B45" s="9" t="s">
        <v>51</v>
      </c>
      <c r="C45" s="10">
        <f>'Oct 2022'!H45</f>
        <v>14083.934999999999</v>
      </c>
      <c r="D45" s="10">
        <v>4.58</v>
      </c>
      <c r="E45" s="10">
        <f>'Oct 2022'!E45+'Nov 2022'!D45</f>
        <v>134.465</v>
      </c>
      <c r="F45" s="10">
        <v>0</v>
      </c>
      <c r="G45" s="10">
        <f>'Oct 2022'!G45+'Nov 2022'!F45</f>
        <v>0</v>
      </c>
      <c r="H45" s="72">
        <f>C45+D45-F45</f>
        <v>14088.514999999999</v>
      </c>
      <c r="I45" s="10">
        <f>'Oct 2022'!N45</f>
        <v>6.65</v>
      </c>
      <c r="J45" s="10">
        <v>0.02</v>
      </c>
      <c r="K45" s="10">
        <f>'Oct 2022'!K45+'Nov 2022'!J45</f>
        <v>0.04</v>
      </c>
      <c r="L45" s="10">
        <v>0</v>
      </c>
      <c r="M45" s="10">
        <f>'Oct 2022'!M45+'Nov 2022'!L45</f>
        <v>0</v>
      </c>
      <c r="N45" s="72">
        <f t="shared" si="1"/>
        <v>6.67</v>
      </c>
      <c r="O45" s="11">
        <f>'Oct 2022'!T45</f>
        <v>105.87000000000002</v>
      </c>
      <c r="P45" s="10">
        <v>0</v>
      </c>
      <c r="Q45" s="10">
        <f>'Oct 2022'!Q45+'Nov 2022'!P45</f>
        <v>75.7</v>
      </c>
      <c r="R45" s="10">
        <v>0</v>
      </c>
      <c r="S45" s="10">
        <f>'Oct 2022'!S45+'Nov 2022'!R45</f>
        <v>0</v>
      </c>
      <c r="T45" s="82">
        <f t="shared" si="2"/>
        <v>105.87000000000002</v>
      </c>
      <c r="U45" s="82">
        <f t="shared" si="3"/>
        <v>14201.055</v>
      </c>
      <c r="V45" s="115"/>
      <c r="W45" s="12"/>
    </row>
    <row r="46" spans="1:23" ht="42.75" customHeight="1">
      <c r="A46" s="8">
        <v>30</v>
      </c>
      <c r="B46" s="9" t="s">
        <v>52</v>
      </c>
      <c r="C46" s="10">
        <f>'Oct 2022'!H46</f>
        <v>7306.8049999999985</v>
      </c>
      <c r="D46" s="10">
        <v>6.15</v>
      </c>
      <c r="E46" s="10">
        <f>'Oct 2022'!E46+'Nov 2022'!D46</f>
        <v>47.594999999999999</v>
      </c>
      <c r="F46" s="10">
        <v>0</v>
      </c>
      <c r="G46" s="10">
        <f>'Oct 2022'!G46+'Nov 2022'!F46</f>
        <v>0</v>
      </c>
      <c r="H46" s="72">
        <f t="shared" si="0"/>
        <v>7312.9549999999981</v>
      </c>
      <c r="I46" s="10">
        <f>'Oct 2022'!N46</f>
        <v>0</v>
      </c>
      <c r="J46" s="10">
        <v>0</v>
      </c>
      <c r="K46" s="10">
        <f>'Oct 2022'!K46+'Nov 2022'!J46</f>
        <v>0</v>
      </c>
      <c r="L46" s="10">
        <v>0</v>
      </c>
      <c r="M46" s="10">
        <f>'Oct 2022'!M46+'Nov 2022'!L46</f>
        <v>0</v>
      </c>
      <c r="N46" s="72">
        <f t="shared" si="1"/>
        <v>0</v>
      </c>
      <c r="O46" s="11">
        <f>'Oct 2022'!T46</f>
        <v>7.5900000000000007</v>
      </c>
      <c r="P46" s="10">
        <v>0</v>
      </c>
      <c r="Q46" s="10">
        <f>'Oct 2022'!Q46+'Nov 2022'!P46</f>
        <v>0</v>
      </c>
      <c r="R46" s="10">
        <v>0</v>
      </c>
      <c r="S46" s="10">
        <f>'Oct 2022'!S46+'Nov 2022'!R46</f>
        <v>0.31</v>
      </c>
      <c r="T46" s="82">
        <f t="shared" si="2"/>
        <v>7.5900000000000007</v>
      </c>
      <c r="U46" s="82">
        <f t="shared" si="3"/>
        <v>7320.5449999999983</v>
      </c>
      <c r="V46" s="115"/>
      <c r="W46" s="12"/>
    </row>
    <row r="47" spans="1:23" ht="42.75" customHeight="1">
      <c r="A47" s="8">
        <v>31</v>
      </c>
      <c r="B47" s="9" t="s">
        <v>53</v>
      </c>
      <c r="C47" s="10">
        <f>'Oct 2022'!H47</f>
        <v>12303.320000000002</v>
      </c>
      <c r="D47" s="10">
        <v>0.37</v>
      </c>
      <c r="E47" s="10">
        <f>'Oct 2022'!E47+'Nov 2022'!D47</f>
        <v>10.43</v>
      </c>
      <c r="F47" s="10">
        <v>0</v>
      </c>
      <c r="G47" s="10">
        <f>'Oct 2022'!G47+'Nov 2022'!F47</f>
        <v>0</v>
      </c>
      <c r="H47" s="72">
        <f t="shared" si="0"/>
        <v>12303.690000000002</v>
      </c>
      <c r="I47" s="10">
        <f>'Oct 2022'!N47</f>
        <v>1.2999999999999998</v>
      </c>
      <c r="J47" s="10">
        <v>0</v>
      </c>
      <c r="K47" s="10">
        <f>'Oct 2022'!K47+'Nov 2022'!J47</f>
        <v>0</v>
      </c>
      <c r="L47" s="10">
        <v>0</v>
      </c>
      <c r="M47" s="10">
        <f>'Oct 2022'!M47+'Nov 2022'!L47</f>
        <v>0</v>
      </c>
      <c r="N47" s="72">
        <f t="shared" si="1"/>
        <v>1.2999999999999998</v>
      </c>
      <c r="O47" s="11">
        <f>'Oct 2022'!T47</f>
        <v>86.18</v>
      </c>
      <c r="P47" s="10">
        <v>0</v>
      </c>
      <c r="Q47" s="10">
        <f>'Oct 2022'!Q47+'Nov 2022'!P47</f>
        <v>0</v>
      </c>
      <c r="R47" s="10">
        <v>0</v>
      </c>
      <c r="S47" s="10">
        <f>'Oct 2022'!S47+'Nov 2022'!R47</f>
        <v>0.1</v>
      </c>
      <c r="T47" s="82">
        <f t="shared" si="2"/>
        <v>86.18</v>
      </c>
      <c r="U47" s="82">
        <f t="shared" si="3"/>
        <v>12391.170000000002</v>
      </c>
      <c r="V47" s="115"/>
      <c r="W47" s="12"/>
    </row>
    <row r="48" spans="1:23" ht="42.75" customHeight="1">
      <c r="A48" s="8">
        <v>32</v>
      </c>
      <c r="B48" s="9" t="s">
        <v>54</v>
      </c>
      <c r="C48" s="10">
        <f>'Oct 2022'!H48</f>
        <v>11102.822000000009</v>
      </c>
      <c r="D48" s="10">
        <v>1.08</v>
      </c>
      <c r="E48" s="10">
        <f>'Oct 2022'!E48+'Nov 2022'!D48</f>
        <v>13.709999999999999</v>
      </c>
      <c r="F48" s="10">
        <v>0</v>
      </c>
      <c r="G48" s="10">
        <f>'Oct 2022'!G48+'Nov 2022'!F48</f>
        <v>0</v>
      </c>
      <c r="H48" s="72">
        <f t="shared" si="0"/>
        <v>11103.902000000009</v>
      </c>
      <c r="I48" s="10">
        <f>'Oct 2022'!N48</f>
        <v>0</v>
      </c>
      <c r="J48" s="10">
        <v>0</v>
      </c>
      <c r="K48" s="10">
        <f>'Oct 2022'!K48+'Nov 2022'!J48</f>
        <v>0</v>
      </c>
      <c r="L48" s="10">
        <v>0</v>
      </c>
      <c r="M48" s="10">
        <f>'Oct 2022'!M48+'Nov 2022'!L48</f>
        <v>0</v>
      </c>
      <c r="N48" s="72">
        <f t="shared" si="1"/>
        <v>0</v>
      </c>
      <c r="O48" s="11">
        <f>'Oct 2022'!T48</f>
        <v>30.53</v>
      </c>
      <c r="P48" s="10">
        <v>0</v>
      </c>
      <c r="Q48" s="10">
        <f>'Oct 2022'!Q48+'Nov 2022'!P48</f>
        <v>0.53</v>
      </c>
      <c r="R48" s="10">
        <v>0</v>
      </c>
      <c r="S48" s="10">
        <f>'Oct 2022'!S48+'Nov 2022'!R48</f>
        <v>0</v>
      </c>
      <c r="T48" s="82">
        <f t="shared" si="2"/>
        <v>30.53</v>
      </c>
      <c r="U48" s="82">
        <f t="shared" si="3"/>
        <v>11134.43200000001</v>
      </c>
      <c r="V48" s="115"/>
      <c r="W48" s="12"/>
    </row>
    <row r="49" spans="1:23" s="17" customFormat="1" ht="42.75" customHeight="1">
      <c r="A49" s="14"/>
      <c r="B49" s="103" t="s">
        <v>55</v>
      </c>
      <c r="C49" s="16">
        <f>SUM(C45:C48)</f>
        <v>44796.882000000005</v>
      </c>
      <c r="D49" s="16">
        <f t="shared" ref="D49:U49" si="14">SUM(D45:D48)</f>
        <v>12.18</v>
      </c>
      <c r="E49" s="16">
        <f t="shared" si="14"/>
        <v>206.20000000000002</v>
      </c>
      <c r="F49" s="16">
        <f t="shared" si="14"/>
        <v>0</v>
      </c>
      <c r="G49" s="16">
        <f t="shared" si="14"/>
        <v>0</v>
      </c>
      <c r="H49" s="16">
        <f t="shared" si="14"/>
        <v>44809.062000000013</v>
      </c>
      <c r="I49" s="16">
        <f t="shared" si="14"/>
        <v>7.95</v>
      </c>
      <c r="J49" s="16">
        <f t="shared" si="14"/>
        <v>0.02</v>
      </c>
      <c r="K49" s="16">
        <f t="shared" si="14"/>
        <v>0.04</v>
      </c>
      <c r="L49" s="16">
        <f t="shared" si="14"/>
        <v>0</v>
      </c>
      <c r="M49" s="16">
        <f t="shared" si="14"/>
        <v>0</v>
      </c>
      <c r="N49" s="16">
        <f t="shared" si="14"/>
        <v>7.97</v>
      </c>
      <c r="O49" s="16">
        <f t="shared" si="14"/>
        <v>230.17000000000004</v>
      </c>
      <c r="P49" s="16">
        <f t="shared" si="14"/>
        <v>0</v>
      </c>
      <c r="Q49" s="16">
        <f t="shared" si="14"/>
        <v>76.23</v>
      </c>
      <c r="R49" s="16">
        <f t="shared" si="14"/>
        <v>0</v>
      </c>
      <c r="S49" s="16">
        <f t="shared" si="14"/>
        <v>0.41000000000000003</v>
      </c>
      <c r="T49" s="16">
        <f t="shared" si="14"/>
        <v>230.17000000000004</v>
      </c>
      <c r="U49" s="16">
        <f t="shared" si="14"/>
        <v>45047.202000000012</v>
      </c>
      <c r="V49" s="102"/>
      <c r="W49" s="102"/>
    </row>
    <row r="50" spans="1:23" s="17" customFormat="1" ht="42.75" customHeight="1">
      <c r="A50" s="14"/>
      <c r="B50" s="15" t="s">
        <v>56</v>
      </c>
      <c r="C50" s="16">
        <f>C49+C44</f>
        <v>95564.733000000007</v>
      </c>
      <c r="D50" s="16">
        <f t="shared" ref="D50:U50" si="15">D49+D44</f>
        <v>38.619999999999997</v>
      </c>
      <c r="E50" s="16">
        <f t="shared" si="15"/>
        <v>931.91</v>
      </c>
      <c r="F50" s="16">
        <f t="shared" si="15"/>
        <v>0</v>
      </c>
      <c r="G50" s="16">
        <f t="shared" si="15"/>
        <v>0.24</v>
      </c>
      <c r="H50" s="16">
        <f t="shared" si="15"/>
        <v>95603.353000000003</v>
      </c>
      <c r="I50" s="16">
        <f t="shared" si="15"/>
        <v>77.25</v>
      </c>
      <c r="J50" s="16">
        <f t="shared" si="15"/>
        <v>157.52000000000001</v>
      </c>
      <c r="K50" s="16">
        <f t="shared" si="15"/>
        <v>226.84</v>
      </c>
      <c r="L50" s="16">
        <f t="shared" si="15"/>
        <v>0</v>
      </c>
      <c r="M50" s="16">
        <f t="shared" si="15"/>
        <v>0</v>
      </c>
      <c r="N50" s="16">
        <f t="shared" si="15"/>
        <v>234.77</v>
      </c>
      <c r="O50" s="16">
        <f t="shared" si="15"/>
        <v>288.42000000000007</v>
      </c>
      <c r="P50" s="16">
        <f t="shared" si="15"/>
        <v>291.31</v>
      </c>
      <c r="Q50" s="16">
        <f t="shared" si="15"/>
        <v>425.79000000000008</v>
      </c>
      <c r="R50" s="16">
        <f t="shared" si="15"/>
        <v>0</v>
      </c>
      <c r="S50" s="16">
        <f t="shared" si="15"/>
        <v>0.41000000000000003</v>
      </c>
      <c r="T50" s="16">
        <f t="shared" si="15"/>
        <v>579.73000000000013</v>
      </c>
      <c r="U50" s="16">
        <f t="shared" si="15"/>
        <v>96417.853000000003</v>
      </c>
      <c r="V50" s="102"/>
      <c r="W50" s="102"/>
    </row>
    <row r="51" spans="1:23" s="17" customFormat="1" ht="42.75" customHeight="1">
      <c r="A51" s="14"/>
      <c r="B51" s="15" t="s">
        <v>57</v>
      </c>
      <c r="C51" s="16">
        <f>C50+C39+C25</f>
        <v>172797.397</v>
      </c>
      <c r="D51" s="16">
        <f t="shared" ref="D51:U51" si="16">D50+D39+D25</f>
        <v>110.6</v>
      </c>
      <c r="E51" s="16">
        <f t="shared" si="16"/>
        <v>1761.037</v>
      </c>
      <c r="F51" s="16">
        <f t="shared" si="16"/>
        <v>340.76</v>
      </c>
      <c r="G51" s="16">
        <f t="shared" si="16"/>
        <v>1065.1600000000001</v>
      </c>
      <c r="H51" s="16">
        <f t="shared" si="16"/>
        <v>172567.23699999999</v>
      </c>
      <c r="I51" s="16">
        <f t="shared" si="16"/>
        <v>2617.4500000000003</v>
      </c>
      <c r="J51" s="16">
        <f t="shared" si="16"/>
        <v>173.72200000000001</v>
      </c>
      <c r="K51" s="16">
        <f t="shared" si="16"/>
        <v>746.53899999999999</v>
      </c>
      <c r="L51" s="16">
        <f t="shared" si="16"/>
        <v>0.04</v>
      </c>
      <c r="M51" s="16">
        <f t="shared" si="16"/>
        <v>2.4900000000000002</v>
      </c>
      <c r="N51" s="16">
        <f t="shared" si="16"/>
        <v>2791.1320000000005</v>
      </c>
      <c r="O51" s="16">
        <f t="shared" si="16"/>
        <v>7864.6940000000004</v>
      </c>
      <c r="P51" s="16">
        <f t="shared" si="16"/>
        <v>591.65000000000009</v>
      </c>
      <c r="Q51" s="16">
        <f t="shared" si="16"/>
        <v>2946.4100000000003</v>
      </c>
      <c r="R51" s="16">
        <f t="shared" si="16"/>
        <v>0.3</v>
      </c>
      <c r="S51" s="16">
        <f t="shared" si="16"/>
        <v>144.46999999999997</v>
      </c>
      <c r="T51" s="16">
        <f t="shared" si="16"/>
        <v>8456.0439999999999</v>
      </c>
      <c r="U51" s="16">
        <f t="shared" si="16"/>
        <v>183814.413</v>
      </c>
      <c r="V51" s="102"/>
      <c r="W51" s="102"/>
    </row>
    <row r="52" spans="1:23" s="23" customFormat="1" ht="42.75" hidden="1" customHeight="1">
      <c r="A52" s="19"/>
      <c r="B52" s="20"/>
      <c r="C52" s="10">
        <f>'Oct 2022'!H52</f>
        <v>0</v>
      </c>
      <c r="D52" s="21"/>
      <c r="E52" s="10">
        <f>'Oct 2022'!E52+'Nov 2022'!D52</f>
        <v>0</v>
      </c>
      <c r="F52" s="21"/>
      <c r="G52" s="10">
        <f>'Oct 2022'!G52+'Nov 2022'!F52</f>
        <v>0</v>
      </c>
      <c r="H52" s="10">
        <f t="shared" si="0"/>
        <v>0</v>
      </c>
      <c r="I52" s="10">
        <f>'Oct 2022'!N52</f>
        <v>0</v>
      </c>
      <c r="J52" s="21"/>
      <c r="K52" s="10">
        <f>'Oct 2022'!K52+'Nov 2022'!J52</f>
        <v>0</v>
      </c>
      <c r="L52" s="21"/>
      <c r="M52" s="10">
        <f>'Oct 2022'!M52+'Nov 2022'!L52</f>
        <v>0</v>
      </c>
      <c r="N52" s="21"/>
      <c r="O52" s="21"/>
      <c r="P52" s="21"/>
      <c r="Q52" s="10">
        <f>'Oct 2022'!Q52+'Nov 2022'!P52</f>
        <v>0</v>
      </c>
      <c r="R52" s="21"/>
      <c r="S52" s="10">
        <f>'Oct 2022'!S52+'Nov 2022'!R52</f>
        <v>0</v>
      </c>
      <c r="T52" s="21"/>
      <c r="U52" s="21"/>
      <c r="V52" s="21"/>
      <c r="W52" s="21"/>
    </row>
    <row r="53" spans="1:23" s="23" customFormat="1" hidden="1">
      <c r="A53" s="19"/>
      <c r="B53" s="20"/>
      <c r="C53" s="10">
        <f>'Oct 2022'!H53</f>
        <v>0</v>
      </c>
      <c r="D53" s="21"/>
      <c r="E53" s="10">
        <f>'Oct 2022'!E53+'Nov 2022'!D53</f>
        <v>0</v>
      </c>
      <c r="F53" s="21"/>
      <c r="G53" s="10">
        <f>'Oct 2022'!G53+'Nov 2022'!F53</f>
        <v>0</v>
      </c>
      <c r="H53" s="10">
        <f t="shared" si="0"/>
        <v>0</v>
      </c>
      <c r="I53" s="10">
        <f>'Oct 2022'!N53</f>
        <v>0</v>
      </c>
      <c r="J53" s="21"/>
      <c r="K53" s="10">
        <f>'Oct 2022'!K53+'Nov 2022'!J53</f>
        <v>0</v>
      </c>
      <c r="L53" s="21"/>
      <c r="M53" s="10">
        <f>'Oct 2022'!M53+'Nov 2022'!L53</f>
        <v>0</v>
      </c>
      <c r="N53" s="21"/>
      <c r="O53" s="21"/>
      <c r="P53" s="24"/>
      <c r="Q53" s="10">
        <f>'Oct 2022'!Q53+'Nov 2022'!P53</f>
        <v>0</v>
      </c>
      <c r="R53" s="21"/>
      <c r="S53" s="10">
        <f>'Oct 2022'!S53+'Nov 2022'!R53</f>
        <v>0</v>
      </c>
      <c r="T53" s="25"/>
      <c r="U53" s="21"/>
      <c r="V53" s="21"/>
      <c r="W53" s="21"/>
    </row>
    <row r="54" spans="1:23" s="23" customFormat="1">
      <c r="A54" s="19"/>
      <c r="B54" s="20"/>
      <c r="C54" s="21"/>
      <c r="D54" s="21"/>
      <c r="E54" s="22"/>
      <c r="F54" s="21"/>
      <c r="G54" s="21"/>
      <c r="H54" s="21"/>
      <c r="I54" s="24"/>
      <c r="J54" s="21"/>
      <c r="K54" s="22"/>
      <c r="L54" s="21"/>
      <c r="M54" s="24"/>
      <c r="N54" s="21" t="s">
        <v>66</v>
      </c>
      <c r="O54" s="21"/>
      <c r="P54" s="24"/>
      <c r="Q54" s="22"/>
      <c r="R54" s="21"/>
      <c r="S54" s="24"/>
      <c r="T54" s="25"/>
      <c r="U54" s="21"/>
      <c r="V54" s="21"/>
      <c r="W54" s="21"/>
    </row>
    <row r="55" spans="1:23" s="23" customFormat="1">
      <c r="A55" s="19"/>
      <c r="B55" s="20"/>
      <c r="C55" s="21"/>
      <c r="D55" s="21"/>
      <c r="E55" s="22"/>
      <c r="F55" s="21"/>
      <c r="G55" s="21"/>
      <c r="H55" s="21"/>
      <c r="I55" s="24"/>
      <c r="J55" s="21"/>
      <c r="K55" s="22"/>
      <c r="L55" s="21"/>
      <c r="M55" s="24"/>
      <c r="N55" s="21"/>
      <c r="O55" s="21"/>
      <c r="P55" s="24"/>
      <c r="Q55" s="22"/>
      <c r="R55" s="21"/>
      <c r="S55" s="24"/>
      <c r="T55" s="25"/>
      <c r="U55" s="21"/>
      <c r="V55" s="21"/>
      <c r="W55" s="21"/>
    </row>
    <row r="56" spans="1:23" s="17" customFormat="1" ht="57" customHeight="1">
      <c r="A56" s="26"/>
      <c r="B56" s="27"/>
      <c r="C56" s="28"/>
      <c r="D56" s="112" t="s">
        <v>58</v>
      </c>
      <c r="E56" s="112"/>
      <c r="F56" s="112"/>
      <c r="G56" s="112"/>
      <c r="H56" s="99">
        <f>D51+J51+P51-F51-L51-R51</f>
        <v>534.87200000000018</v>
      </c>
      <c r="I56" s="99"/>
      <c r="J56" s="99"/>
      <c r="K56" s="99"/>
      <c r="L56" s="99"/>
      <c r="M56" s="99"/>
      <c r="N56" s="99"/>
      <c r="O56" s="29"/>
      <c r="P56" s="99"/>
      <c r="Q56" s="99"/>
      <c r="R56" s="99"/>
      <c r="S56" s="99"/>
      <c r="T56" s="99"/>
      <c r="U56" s="100"/>
      <c r="V56" s="100"/>
      <c r="W56" s="100"/>
    </row>
    <row r="57" spans="1:23" s="17" customFormat="1" ht="66" customHeight="1">
      <c r="A57" s="26"/>
      <c r="B57" s="27"/>
      <c r="C57" s="99"/>
      <c r="D57" s="112" t="s">
        <v>59</v>
      </c>
      <c r="E57" s="112"/>
      <c r="F57" s="112"/>
      <c r="G57" s="112"/>
      <c r="H57" s="99">
        <f>E51+K51+Q51-G51-M51-S51</f>
        <v>4241.8660000000009</v>
      </c>
      <c r="I57" s="99"/>
      <c r="J57" s="99"/>
      <c r="K57" s="99"/>
      <c r="L57" s="99"/>
      <c r="M57" s="99"/>
      <c r="N57" s="99"/>
      <c r="O57" s="29"/>
      <c r="P57" s="99"/>
      <c r="Q57" s="99"/>
      <c r="R57" s="99"/>
      <c r="S57" s="99"/>
      <c r="T57" s="99"/>
      <c r="U57" s="100"/>
      <c r="V57" s="100"/>
      <c r="W57" s="100"/>
    </row>
    <row r="58" spans="1:23" ht="54" customHeight="1">
      <c r="C58" s="28"/>
      <c r="D58" s="112" t="s">
        <v>60</v>
      </c>
      <c r="E58" s="112"/>
      <c r="F58" s="112"/>
      <c r="G58" s="112"/>
      <c r="H58" s="99">
        <f>H51+N51+T51</f>
        <v>183814.413</v>
      </c>
      <c r="I58" s="31"/>
      <c r="J58" s="31"/>
      <c r="K58" s="31"/>
      <c r="L58" s="32"/>
      <c r="M58" s="32"/>
      <c r="N58" s="45" t="e">
        <f>#REF!+'Nov 2022'!H56</f>
        <v>#REF!</v>
      </c>
      <c r="O58" s="12"/>
      <c r="P58" s="31"/>
      <c r="Q58" s="31"/>
      <c r="T58" s="41"/>
      <c r="U58" s="12"/>
      <c r="V58" s="12"/>
      <c r="W58" s="12"/>
    </row>
    <row r="59" spans="1:23" ht="42.75" customHeight="1">
      <c r="C59" s="100"/>
      <c r="D59" s="100"/>
      <c r="E59" s="1"/>
      <c r="H59" s="31"/>
      <c r="J59" s="33" t="e">
        <f>#REF!+'Nov 2022'!H56</f>
        <v>#REF!</v>
      </c>
      <c r="K59" s="31"/>
      <c r="L59" s="33" t="e">
        <f>#REF!+'Nov 2022'!H56</f>
        <v>#REF!</v>
      </c>
      <c r="M59" s="31"/>
      <c r="O59" s="12"/>
    </row>
    <row r="60" spans="1:23" s="17" customFormat="1" ht="78.75" customHeight="1">
      <c r="B60" s="114" t="s">
        <v>61</v>
      </c>
      <c r="C60" s="114"/>
      <c r="D60" s="114"/>
      <c r="E60" s="114"/>
      <c r="F60" s="114"/>
      <c r="H60" s="1"/>
      <c r="I60" s="34" t="e">
        <f>#REF!+'Nov 2022'!H56</f>
        <v>#REF!</v>
      </c>
      <c r="J60" s="1"/>
      <c r="K60" s="31"/>
      <c r="L60" s="31"/>
      <c r="M60" s="33">
        <f>'March 2022'!H58+'Nov 2022'!H56</f>
        <v>179875.44899999996</v>
      </c>
      <c r="Q60" s="114" t="s">
        <v>62</v>
      </c>
      <c r="R60" s="114"/>
      <c r="S60" s="114"/>
      <c r="T60" s="114"/>
      <c r="U60" s="114"/>
    </row>
    <row r="61" spans="1:23" s="17" customFormat="1" ht="45.75" customHeight="1">
      <c r="B61" s="114" t="s">
        <v>63</v>
      </c>
      <c r="C61" s="114"/>
      <c r="D61" s="114"/>
      <c r="E61" s="114"/>
      <c r="F61" s="114"/>
      <c r="G61" s="35"/>
      <c r="H61" s="36">
        <f>'[1]feb 2021'!H58+'Nov 2022'!H56</f>
        <v>177372.51500000001</v>
      </c>
      <c r="I61" s="35"/>
      <c r="J61" s="28"/>
      <c r="K61" s="31"/>
      <c r="L61" s="31"/>
      <c r="M61" s="31"/>
      <c r="Q61" s="114" t="s">
        <v>63</v>
      </c>
      <c r="R61" s="114"/>
      <c r="S61" s="114"/>
      <c r="T61" s="114"/>
      <c r="U61" s="114"/>
    </row>
    <row r="62" spans="1:23" s="17" customFormat="1">
      <c r="B62" s="27"/>
      <c r="F62" s="37"/>
      <c r="I62" s="35"/>
      <c r="J62" s="37"/>
      <c r="Q62" s="100"/>
      <c r="R62" s="100"/>
      <c r="S62" s="2"/>
      <c r="T62" s="100"/>
      <c r="U62" s="100"/>
      <c r="V62" s="100"/>
      <c r="W62" s="100"/>
    </row>
    <row r="63" spans="1:23" s="17" customFormat="1" ht="61.5" customHeight="1">
      <c r="B63" s="27"/>
      <c r="G63" s="36">
        <f>'[1]May 2020'!H56+'Nov 2022'!H56</f>
        <v>175265.83300000001</v>
      </c>
      <c r="J63" s="113" t="s">
        <v>64</v>
      </c>
      <c r="K63" s="113"/>
      <c r="L63" s="113"/>
      <c r="O63" s="100"/>
      <c r="S63" s="37"/>
      <c r="U63" s="100"/>
      <c r="V63" s="100"/>
      <c r="W63" s="100"/>
    </row>
    <row r="64" spans="1:23" s="17" customFormat="1" ht="58.5" customHeight="1">
      <c r="B64" s="27"/>
      <c r="H64" s="1"/>
      <c r="J64" s="113" t="s">
        <v>65</v>
      </c>
      <c r="K64" s="113"/>
      <c r="L64" s="113"/>
      <c r="O64" s="100"/>
      <c r="S64" s="37"/>
      <c r="U64" s="100"/>
      <c r="V64" s="100"/>
      <c r="W64" s="100"/>
    </row>
    <row r="66" spans="2:23">
      <c r="G66" s="31"/>
      <c r="H66" s="33" t="e">
        <f>#REF!+'Nov 2022'!H56</f>
        <v>#REF!</v>
      </c>
    </row>
    <row r="67" spans="2:23">
      <c r="H67" s="31"/>
      <c r="J67" s="31"/>
    </row>
    <row r="69" spans="2:23">
      <c r="B69" s="3"/>
      <c r="G69" s="38"/>
      <c r="O69" s="3"/>
      <c r="U69" s="3"/>
      <c r="V69" s="3"/>
      <c r="W69" s="3"/>
    </row>
  </sheetData>
  <mergeCells count="31">
    <mergeCell ref="J63:L63"/>
    <mergeCell ref="J64:L64"/>
    <mergeCell ref="D56:G56"/>
    <mergeCell ref="D57:G57"/>
    <mergeCell ref="D58:G58"/>
    <mergeCell ref="B60:F60"/>
    <mergeCell ref="Q60:U60"/>
    <mergeCell ref="B61:F61"/>
    <mergeCell ref="Q61:U61"/>
    <mergeCell ref="P5:Q5"/>
    <mergeCell ref="R5:S5"/>
    <mergeCell ref="T5:T6"/>
    <mergeCell ref="U5:U6"/>
    <mergeCell ref="V26:V27"/>
    <mergeCell ref="V45:V48"/>
    <mergeCell ref="H5:H6"/>
    <mergeCell ref="I5:I6"/>
    <mergeCell ref="J5:K5"/>
    <mergeCell ref="L5:M5"/>
    <mergeCell ref="N5:N6"/>
    <mergeCell ref="O5:O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March 2022</vt:lpstr>
      <vt:lpstr>April 2022  </vt:lpstr>
      <vt:lpstr>May 2022</vt:lpstr>
      <vt:lpstr>June 2022</vt:lpstr>
      <vt:lpstr>July 2022</vt:lpstr>
      <vt:lpstr>aug 2022</vt:lpstr>
      <vt:lpstr>sep 2022</vt:lpstr>
      <vt:lpstr>Oct 2022</vt:lpstr>
      <vt:lpstr>Nov 2022</vt:lpstr>
      <vt:lpstr>Dec 2022</vt:lpstr>
      <vt:lpstr>Jan 2023</vt:lpstr>
      <vt:lpstr>LT</vt:lpstr>
      <vt:lpstr>'April 2022  '!Print_Area</vt:lpstr>
      <vt:lpstr>'aug 2022'!Print_Area</vt:lpstr>
      <vt:lpstr>'Dec 2022'!Print_Area</vt:lpstr>
      <vt:lpstr>'Jan 2023'!Print_Area</vt:lpstr>
      <vt:lpstr>'July 2022'!Print_Area</vt:lpstr>
      <vt:lpstr>'June 2022'!Print_Area</vt:lpstr>
      <vt:lpstr>'March 2022'!Print_Area</vt:lpstr>
      <vt:lpstr>'May 2022'!Print_Area</vt:lpstr>
      <vt:lpstr>'Nov 2022'!Print_Area</vt:lpstr>
      <vt:lpstr>'Oct 2022'!Print_Area</vt:lpstr>
      <vt:lpstr>'sep 2022'!Print_Area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2023-02-10T11:56:58Z</dcterms:modified>
</cp:coreProperties>
</file>